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7935" firstSheet="1" activeTab="5"/>
  </bookViews>
  <sheets>
    <sheet name="ДОДАТОК 0" sheetId="1" r:id="rId1"/>
    <sheet name="ДОДАТОК1" sheetId="2" r:id="rId2"/>
    <sheet name="ДОДАТОК2" sheetId="3" r:id="rId3"/>
    <sheet name="ДОДАТОК 3" sheetId="4" r:id="rId4"/>
    <sheet name="ДОДАТОК 4" sheetId="5" r:id="rId5"/>
    <sheet name="Структура ТЕ" sheetId="6" r:id="rId6"/>
    <sheet name="Вироб" sheetId="7" r:id="rId7"/>
    <sheet name="Трансп." sheetId="8" r:id="rId8"/>
    <sheet name="Постач." sheetId="9" r:id="rId9"/>
  </sheets>
  <externalReferences>
    <externalReference r:id="rId12"/>
  </externalReferences>
  <definedNames>
    <definedName name="_xlnm.Print_Area" localSheetId="0">'ДОДАТОК 0'!$A$1:$M$40</definedName>
    <definedName name="_xlnm.Print_Area" localSheetId="3">'ДОДАТОК 3'!$A$1:$K$51</definedName>
    <definedName name="_xlnm.Print_Area" localSheetId="4">'ДОДАТОК 4'!$A$1:$G$46</definedName>
    <definedName name="_xlnm.Print_Area" localSheetId="1">'ДОДАТОК1'!$A$1:$M$56</definedName>
    <definedName name="_xlnm.Print_Area" localSheetId="2">'ДОДАТОК2'!$A$1:$K$67</definedName>
    <definedName name="_xlnm.Print_Area" localSheetId="5">'Структура ТЕ'!$A$1:$J$50</definedName>
  </definedNames>
  <calcPr fullCalcOnLoad="1"/>
</workbook>
</file>

<file path=xl/sharedStrings.xml><?xml version="1.0" encoding="utf-8"?>
<sst xmlns="http://schemas.openxmlformats.org/spreadsheetml/2006/main" count="998" uniqueCount="268">
  <si>
    <t>бюджетних установ</t>
  </si>
  <si>
    <t>1</t>
  </si>
  <si>
    <t>1.1</t>
  </si>
  <si>
    <t>1.2</t>
  </si>
  <si>
    <t>2</t>
  </si>
  <si>
    <t>2.1</t>
  </si>
  <si>
    <t>2.2</t>
  </si>
  <si>
    <t>3</t>
  </si>
  <si>
    <t>4</t>
  </si>
  <si>
    <t>4.1</t>
  </si>
  <si>
    <t>5</t>
  </si>
  <si>
    <t>5.1</t>
  </si>
  <si>
    <t>5.2</t>
  </si>
  <si>
    <t>6</t>
  </si>
  <si>
    <t>6.1</t>
  </si>
  <si>
    <t>6.2</t>
  </si>
  <si>
    <t>№ з/п</t>
  </si>
  <si>
    <t>Показники</t>
  </si>
  <si>
    <t>Сумарні та середньозважені показники</t>
  </si>
  <si>
    <t>прямі витрати на оплату праці</t>
  </si>
  <si>
    <t>інші прямі витрати</t>
  </si>
  <si>
    <t>витрати на оплату праці</t>
  </si>
  <si>
    <t>інші витрати</t>
  </si>
  <si>
    <t>1.1.1</t>
  </si>
  <si>
    <t>1.1.2</t>
  </si>
  <si>
    <t>1.1.3</t>
  </si>
  <si>
    <t>1.1.4</t>
  </si>
  <si>
    <t>1.1.5</t>
  </si>
  <si>
    <t>1.3</t>
  </si>
  <si>
    <t>1.3.1</t>
  </si>
  <si>
    <t>1.3.2</t>
  </si>
  <si>
    <t>1.3.3</t>
  </si>
  <si>
    <t>1.4</t>
  </si>
  <si>
    <t>1.4.1</t>
  </si>
  <si>
    <t>1.4.2</t>
  </si>
  <si>
    <t>1.4.3</t>
  </si>
  <si>
    <t>2.3</t>
  </si>
  <si>
    <t>3.1</t>
  </si>
  <si>
    <t>3.2</t>
  </si>
  <si>
    <t>Фінансові витрати</t>
  </si>
  <si>
    <t>податок на прибуток</t>
  </si>
  <si>
    <t>резервний фонд (капітал)</t>
  </si>
  <si>
    <t>на розвиток виробництва (виробничі інвестиції)</t>
  </si>
  <si>
    <t>інше використання  прибутку</t>
  </si>
  <si>
    <t>Вартість виробництва теплової енергії за відповідними тарифами</t>
  </si>
  <si>
    <t>7</t>
  </si>
  <si>
    <t>7.1</t>
  </si>
  <si>
    <t>7.2</t>
  </si>
  <si>
    <t>8</t>
  </si>
  <si>
    <t>9</t>
  </si>
  <si>
    <t>10</t>
  </si>
  <si>
    <t>11</t>
  </si>
  <si>
    <t>12</t>
  </si>
  <si>
    <t>13</t>
  </si>
  <si>
    <t>тис.грн</t>
  </si>
  <si>
    <t>грн/Гкал</t>
  </si>
  <si>
    <t>Гкал</t>
  </si>
  <si>
    <t>%</t>
  </si>
  <si>
    <t>Найменування показника</t>
  </si>
  <si>
    <t>4.2</t>
  </si>
  <si>
    <t>10.1</t>
  </si>
  <si>
    <t>10.2</t>
  </si>
  <si>
    <t>ЗАЯВА</t>
  </si>
  <si>
    <t>Заява та документи, що додаються до неї, містять достовірну інформацію.</t>
  </si>
  <si>
    <t>РОЗРАХУНОК</t>
  </si>
  <si>
    <t>Прямі витрати на оплату праці</t>
  </si>
  <si>
    <t>на розвиток виробництва  (виробничі інвестиції)</t>
  </si>
  <si>
    <t>інше використання прибутку</t>
  </si>
  <si>
    <t>Вартість транспортування теплової енергії за відповідними тарифами</t>
  </si>
  <si>
    <t>корисний відпуск теплової енергії інших власників</t>
  </si>
  <si>
    <t>прямі матеріальні витрати</t>
  </si>
  <si>
    <t>корисний відпуск теплової енергії власним споживачам</t>
  </si>
  <si>
    <t>Рівні рентабельності тарифів:</t>
  </si>
  <si>
    <t>8.1</t>
  </si>
  <si>
    <t>на виробництво теплової енергії</t>
  </si>
  <si>
    <t>8.2</t>
  </si>
  <si>
    <t>на транспортування теплової енергії</t>
  </si>
  <si>
    <t>8.3</t>
  </si>
  <si>
    <t>на постачання теплової енергії</t>
  </si>
  <si>
    <t>8.4</t>
  </si>
  <si>
    <t>на теплову енергію</t>
  </si>
  <si>
    <t>Вартість постачання теплової енергії за відповідними тарифами</t>
  </si>
  <si>
    <t>Середньозважений тариф на постачання теплової енергії</t>
  </si>
  <si>
    <t xml:space="preserve">населення </t>
  </si>
  <si>
    <t>Директор</t>
  </si>
  <si>
    <t>комунальне підприємство "Глухівський тепловий район", м.Глухів, вул.Києво-Московська.14</t>
  </si>
  <si>
    <t>код ЄДРПОУ   31264398</t>
  </si>
  <si>
    <t>Додаток 1</t>
  </si>
  <si>
    <t>грн./Гкал</t>
  </si>
  <si>
    <t>Інші операційні витрати</t>
  </si>
  <si>
    <t>Повна собівартість</t>
  </si>
  <si>
    <t>Рівень рентабельності,%</t>
  </si>
  <si>
    <t>Прямі витрати</t>
  </si>
  <si>
    <t>Додаток 2</t>
  </si>
  <si>
    <t>М.О.Колоша</t>
  </si>
  <si>
    <t>Середньозважений тариф на транспортування теплової енергії</t>
  </si>
  <si>
    <t>дивіденди</t>
  </si>
  <si>
    <t xml:space="preserve">резервний фонд (капітал) </t>
  </si>
  <si>
    <t xml:space="preserve">власної теплової енергії  </t>
  </si>
  <si>
    <t>11.1</t>
  </si>
  <si>
    <t>11.2</t>
  </si>
  <si>
    <t>амортизаційні відрахування</t>
  </si>
  <si>
    <t>Додаток 4</t>
  </si>
  <si>
    <t>на 1 Гкал</t>
  </si>
  <si>
    <t>Виробництво теплової енергії (крім діяльності з виробництва теплової енергії на теплоелектроцентралях, теплоелектростанціях, атомних електростанціях і когенераційних установках та установках з використанням нетрадиційних або поновлювальних джерел енергії) (Розпорядження голови Сумської обласної державної адміністрації від 31.05.2018 № 338-ОД), транспортування її магістральними та місцевими (розподільчими) тепловими мережами (Розпорядження голови Сумської обласної державної адміністрації від 31.05.2018 № 337-ОД) та постачання теплової енергії (Розпорядження голови Сумської обласної державної адміністрації від 31.05.2018 № 336-ОД).</t>
  </si>
  <si>
    <t>(пункт 1 розділу II)</t>
  </si>
  <si>
    <t>Виконавчий комітет</t>
  </si>
  <si>
    <t>сільської/селищної/міської ради</t>
  </si>
  <si>
    <t xml:space="preserve">про встановлення тарифів </t>
  </si>
  <si>
    <t>(види діяльності)</t>
  </si>
  <si>
    <t>(найменування, місцезнаходження суб’єкта господарювання)</t>
  </si>
  <si>
    <t>(назва, серія, номер та дата видачі ліцензії суб’єкта господарювання (за наявності)</t>
  </si>
  <si>
    <t>(зазначити форму (спосіб) зміни тарифів)</t>
  </si>
  <si>
    <t>До заяви додаються документи згідно з переліком на ______ арк.</t>
  </si>
  <si>
    <t>_______________</t>
  </si>
  <si>
    <t>(підпис)</t>
  </si>
  <si>
    <t xml:space="preserve">     (ініціали,прізвище)</t>
  </si>
  <si>
    <t xml:space="preserve">        </t>
  </si>
  <si>
    <t>Дата вхідної реєстрації_________________________№_________________________________</t>
  </si>
  <si>
    <t>планований період</t>
  </si>
  <si>
    <t>Одиниці виміру</t>
  </si>
  <si>
    <t>тис.грн.</t>
  </si>
  <si>
    <t>паливо</t>
  </si>
  <si>
    <t>електроенергія</t>
  </si>
  <si>
    <t>покупна теплова енергія</t>
  </si>
  <si>
    <t>вода для технологічних потреб та водовідведення</t>
  </si>
  <si>
    <t>матеріали, запасні частини та інші матеріальні ресурси</t>
  </si>
  <si>
    <t>Витрати на відшкодування втрат</t>
  </si>
  <si>
    <t>Тарифи на виробництво теплової енергії, зокрема:</t>
  </si>
  <si>
    <t>паливна складова</t>
  </si>
  <si>
    <t>решта витрат, крім паливної складової</t>
  </si>
  <si>
    <t>Обсяг покупної теплової енергії</t>
  </si>
  <si>
    <t>Ціна покупної теплової енергії</t>
  </si>
  <si>
    <t>Відпуск теплової енергії з колекторів власних котелень</t>
  </si>
  <si>
    <t>14</t>
  </si>
  <si>
    <t>Собівартість виробництва теплової енергії власними котельнями</t>
  </si>
  <si>
    <t>15</t>
  </si>
  <si>
    <t>(без податку на додану вартість)</t>
  </si>
  <si>
    <t>транспортування теплової енергії тепловими мережами інших підприємств</t>
  </si>
  <si>
    <t>теплової енергії інших власників для транспортування мережами ліцензіата</t>
  </si>
  <si>
    <t xml:space="preserve">Корисний відпуск теплової енергії з мереж ліцензіата, усього, зокрема: </t>
  </si>
  <si>
    <t>12.1</t>
  </si>
  <si>
    <t>господарські потреби ліцензованої діяльності</t>
  </si>
  <si>
    <t>12.2</t>
  </si>
  <si>
    <t xml:space="preserve">Корисний відпуск теплової енергії інших власників </t>
  </si>
  <si>
    <t>13.3</t>
  </si>
  <si>
    <t xml:space="preserve">Корисний відпуск теплової енергії власним споживачам, зокрема на потреби : </t>
  </si>
  <si>
    <t>13.3.1</t>
  </si>
  <si>
    <t>населення</t>
  </si>
  <si>
    <t>13.3.2</t>
  </si>
  <si>
    <t>бюджетних установ та організацій</t>
  </si>
  <si>
    <t>13.3.3</t>
  </si>
  <si>
    <t>інших споживачів</t>
  </si>
  <si>
    <t>Обсяг транспортування теплової енергії ліцензіата мережами іншого транспортувальника</t>
  </si>
  <si>
    <t>Тариф іншого транспортувальника на транспортування теплової енергії</t>
  </si>
  <si>
    <t>Обсяг реалізованої теплової енергії власним споживачам, зокрема на потреби:</t>
  </si>
  <si>
    <t>На потреби споживачів</t>
  </si>
  <si>
    <t>витрати на відшкодування втрат</t>
  </si>
  <si>
    <t>планований прибуток</t>
  </si>
  <si>
    <t>повна планована собівартість виробництва теплової енергії</t>
  </si>
  <si>
    <t>повна планована собівартість транспортування теплової енергії</t>
  </si>
  <si>
    <t>повна планована собівартість теплової енергії</t>
  </si>
  <si>
    <t>повна планована собівартість постачання теплової енергії</t>
  </si>
  <si>
    <t>3.3</t>
  </si>
  <si>
    <t>4.3</t>
  </si>
  <si>
    <t>повна планована собівартість виробництва, транспортування, постачання теплової енергії</t>
  </si>
  <si>
    <t>5.3</t>
  </si>
  <si>
    <t>планований прибуток від виробництва, транспортування, постачання теплової енергії</t>
  </si>
  <si>
    <t>6.3</t>
  </si>
  <si>
    <t>Виробнича собівартість, зокрема:</t>
  </si>
  <si>
    <t>прямі матеріальні витрати, зокрема:</t>
  </si>
  <si>
    <t>інші прямі витрати, зокрема:</t>
  </si>
  <si>
    <t>відрахування на соціальні заходи</t>
  </si>
  <si>
    <t>загальновиробничі витрати, зокрема:</t>
  </si>
  <si>
    <t>Адміністративні витрати, зокрема:</t>
  </si>
  <si>
    <t>Витрати на збут, зокрема</t>
  </si>
  <si>
    <t>Розрахунковий прибуток, усього, зокрема:</t>
  </si>
  <si>
    <t>х</t>
  </si>
  <si>
    <t>8.5</t>
  </si>
  <si>
    <t>до рішення виконавчого комітету міської ради</t>
  </si>
  <si>
    <t>Виробнича собівартість,зокрема:</t>
  </si>
  <si>
    <t>Прямі матеріальні витрати, зокрема:</t>
  </si>
  <si>
    <t>Інші прямі витрати, зокрема:</t>
  </si>
  <si>
    <t>Загальновиробничі витрати, зокрема:</t>
  </si>
  <si>
    <t>Обсяг надходження теплової енергії до мережі ліцензіата, зокрема:</t>
  </si>
  <si>
    <t>13.1</t>
  </si>
  <si>
    <t>13.2</t>
  </si>
  <si>
    <t>Витрати на збут, зокрема:</t>
  </si>
  <si>
    <t>11.3</t>
  </si>
  <si>
    <r>
      <t xml:space="preserve">                 ______________</t>
    </r>
    <r>
      <rPr>
        <sz val="16"/>
        <rFont val="Times New Roman"/>
        <family val="1"/>
      </rPr>
      <t>_№_</t>
    </r>
    <r>
      <rPr>
        <sz val="16"/>
        <rFont val="Arial"/>
        <family val="2"/>
      </rPr>
      <t>_________</t>
    </r>
  </si>
  <si>
    <t>Тариф на виробництво теплової енергії, зокрема :</t>
  </si>
  <si>
    <t>Тариф на транспортування теплової енергії, зокрема:</t>
  </si>
  <si>
    <t>Тариф на постачання теплової енергії, зокрема:</t>
  </si>
  <si>
    <t>Тариф на теплову енергію, зокрема:</t>
  </si>
  <si>
    <t>Річні плановані доходи від виробництва, транспортування,  постачання теплової енергії, усього, зокрема :</t>
  </si>
  <si>
    <t>Річні плановані доходи від виробництва, транспортування, постачання теплової енергії без транспортування мережами ліцензіата теплової енергії інших власників, усього, зокрема :</t>
  </si>
  <si>
    <t>Планований корисний відпуск з мереж ліцензіата теплової енергії власним споживачам та теплової енергії інших власників, зокрема:</t>
  </si>
  <si>
    <t xml:space="preserve">Витрати на збут, зокрема: </t>
  </si>
  <si>
    <t>16</t>
  </si>
  <si>
    <t>витрати на покриття втрат теплової енергії в теплових мережах</t>
  </si>
  <si>
    <t xml:space="preserve">   Прошу розглянути заяву про встановлення тарифів на теплову енергію, її виробництво, транспортування та постачання, послуги з постачання теплової енергії для всіх груп споживачів</t>
  </si>
  <si>
    <t>та додані до неї матеріали і розрахунки тарифів, здійснені за результатами перегляду тарифів</t>
  </si>
  <si>
    <t xml:space="preserve">              Директор                                                                                                                                        М.О.Колоша</t>
  </si>
  <si>
    <t xml:space="preserve">  Директор                                                                                                                                        М.О.Колоша</t>
  </si>
  <si>
    <t>Глухівської міської ради</t>
  </si>
  <si>
    <t xml:space="preserve">   на теплову енергію, її виробництво, транспортування та постачання, послуги з постачання теплової енергії для всіх груп споживачів</t>
  </si>
  <si>
    <t>Комунальне підприємство "Глухівський тепловий район" Глухівської міської ради</t>
  </si>
  <si>
    <t xml:space="preserve">              Директор                                                                                                                                                                   М.О.Колоша</t>
  </si>
  <si>
    <t>для потреб населення</t>
  </si>
  <si>
    <t>планований період (усього, в т.ч.)</t>
  </si>
  <si>
    <t>для потреб бюджетних установ</t>
  </si>
  <si>
    <t>для потреб інших споживачів</t>
  </si>
  <si>
    <t>Виробництво теплової енергії для потреб населення</t>
  </si>
  <si>
    <t>Виробництво теплової енергії для потреб бюджетних установ</t>
  </si>
  <si>
    <t>Виробництво теплової енергії для потреб інших споживачів</t>
  </si>
  <si>
    <t xml:space="preserve">  Реалізація теплової енергії власним споживачам</t>
  </si>
  <si>
    <t>"______"______________21       року</t>
  </si>
  <si>
    <t>Собівартість транспортування теплової енергії власними котельнями</t>
  </si>
  <si>
    <t>Додаток 3</t>
  </si>
  <si>
    <t>________№_________</t>
  </si>
  <si>
    <t xml:space="preserve">         (керівник)</t>
  </si>
  <si>
    <t>до рішення виконкому міської ради</t>
  </si>
  <si>
    <t xml:space="preserve">СТРУКТУРА СКОРИГОВАНИХ  ТАРИФІВ </t>
  </si>
  <si>
    <t xml:space="preserve"> на теплову енергію, послугу з постачання теплової енергії</t>
  </si>
  <si>
    <t>Для потреб населення</t>
  </si>
  <si>
    <t>Для потреб бюджетних установ</t>
  </si>
  <si>
    <t>Для потреб інших споживачів</t>
  </si>
  <si>
    <t>тис.грн.на рік</t>
  </si>
  <si>
    <t>Виробнича собівартість, у т.ч.:</t>
  </si>
  <si>
    <t>прямі матеріальні витрати, у т.ч.:</t>
  </si>
  <si>
    <t>витрати на придбання теплової енергії в інших суб'єктів господарювання</t>
  </si>
  <si>
    <t>витрати на холодну воду та водовідведення</t>
  </si>
  <si>
    <t>інші прямі матеріальні витрати</t>
  </si>
  <si>
    <t>інші прямі витрати, у т.ч.:</t>
  </si>
  <si>
    <t>загальновиробничі витрати, у т.ч.:</t>
  </si>
  <si>
    <t>1.4.4</t>
  </si>
  <si>
    <t>Адміністративні витрати, у т.ч.:</t>
  </si>
  <si>
    <t>2.4</t>
  </si>
  <si>
    <t>Витрати на покриття втрат</t>
  </si>
  <si>
    <t>Розрахунковий прибуток, усього, у тому числі:</t>
  </si>
  <si>
    <t>7.3</t>
  </si>
  <si>
    <t>7.4</t>
  </si>
  <si>
    <t>7.5</t>
  </si>
  <si>
    <t>Вартість теплової енергії за відповідними тарифами</t>
  </si>
  <si>
    <t>Тарифи на теплову енергію, послугу з постачання теплової енергії грн./Гкал без ПДВ</t>
  </si>
  <si>
    <t>Податок на додану вартість, грн./Гкал</t>
  </si>
  <si>
    <t>Тарифи на теплову енергію, послугу з постачання теплової енергії грн./Гкал з ПДВ</t>
  </si>
  <si>
    <t>Обсяг реалізації теплової енергії власним споживачам, Гкал</t>
  </si>
  <si>
    <t xml:space="preserve">Структура скоригованих тарифів на виробництво  теплової енергії </t>
  </si>
  <si>
    <t>Для потреб інших споживачів (крім населення)</t>
  </si>
  <si>
    <t>Вартість виробництва теплової енергії за відповідними тарифами (без ПДВ)</t>
  </si>
  <si>
    <t>Реалізація теплової енергії власним споживачам</t>
  </si>
  <si>
    <t>Тарифи на виробництво теплової енергії (з ПДВ)</t>
  </si>
  <si>
    <t xml:space="preserve">Структура скоригованих тарифів на транспортування теплової енергії </t>
  </si>
  <si>
    <t>витрати на покриття втрат в теплових мережах</t>
  </si>
  <si>
    <t>Вартість транспортування теплової енергії за відповідними тарифами (без ПДВ)</t>
  </si>
  <si>
    <t>Структура скоригованих тарифів на постачання теплової енергії</t>
  </si>
  <si>
    <t>Вартість постачання теплової енергії за відповідними тарифами (без ПДВ)</t>
  </si>
  <si>
    <t>скориговані показники</t>
  </si>
  <si>
    <t>скориговані показники (усього, в т.ч.)</t>
  </si>
  <si>
    <t>Втрати теплової енергії в мережах ліцензіата, усього, зокрема:</t>
  </si>
  <si>
    <t xml:space="preserve">              Директор                                                                                                                                                                     М.О.Колоша</t>
  </si>
  <si>
    <t xml:space="preserve">              Директор                                                                                                                                                                                                                      М.О.Колоша</t>
  </si>
  <si>
    <t>скоригованих тарифів на виробництво теплової енергії на 2021-2022 роки по комунальному підприємству "Глухівський тепловий район" Глухівської міської ради, відповідно до постанови КМУ від 10.11.2021р. № 1209 за грудень 2021 року.</t>
  </si>
  <si>
    <t xml:space="preserve"> скоригованих тарифів на транспортування теплової енергії на 2021-2022 роки по комунальному підприємству "Глухівський тепловий район" Глухівської міської ради, відповідно до постанови КМУ від 10.11.2021р. № 1209 за грудень 2021 року.</t>
  </si>
  <si>
    <t>скоригованих тарифів на постачання теплової енергії на 2021-2022 роки по комунальному підприємству "Глухівський тепловий район" Глухівської міської ради, відповідно до постанови КМУ від 10.11.2021р. № 1209 за грудень 2021 року.</t>
  </si>
  <si>
    <t xml:space="preserve">          скоригованих тарифів на  теплову енергію по комунальному підприємству "Глухівський тепловий район" Глухівської міської ради на 2021-2022 роки, відповідно до постанови КМУ від 10.11.2021р. № 1209 за грудень 2021 року.</t>
  </si>
  <si>
    <t>КОМУНАЛЬНОГО ПІДПРИЄМСТВА "ГЛУХІВСЬКИЙ ТЕПЛОВИЙ РАЙОН" Глухівської міської ради, відповідно до постанови КМУ від 10.11.2021р. № 1209 за грудень 2021 року.</t>
  </si>
</sst>
</file>

<file path=xl/styles.xml><?xml version="1.0" encoding="utf-8"?>
<styleSheet xmlns="http://schemas.openxmlformats.org/spreadsheetml/2006/main">
  <numFmts count="4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"/>
    <numFmt numFmtId="190" formatCode="0.000"/>
    <numFmt numFmtId="191" formatCode="0.00000"/>
    <numFmt numFmtId="192" formatCode="0.0000000"/>
    <numFmt numFmtId="193" formatCode="0.000000"/>
    <numFmt numFmtId="194" formatCode="0.00000000"/>
    <numFmt numFmtId="195" formatCode="0.000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00000"/>
  </numFmts>
  <fonts count="83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4"/>
      <name val="Arial"/>
      <family val="2"/>
    </font>
    <font>
      <sz val="14"/>
      <name val="Arial Cyr"/>
      <family val="0"/>
    </font>
    <font>
      <sz val="14"/>
      <color indexed="10"/>
      <name val="Arial Cyr"/>
      <family val="0"/>
    </font>
    <font>
      <sz val="14"/>
      <color indexed="12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sz val="16"/>
      <name val="Arial"/>
      <family val="2"/>
    </font>
    <font>
      <sz val="14"/>
      <color indexed="21"/>
      <name val="Arial Cyr"/>
      <family val="0"/>
    </font>
    <font>
      <sz val="14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sz val="18"/>
      <color indexed="12"/>
      <name val="Times New Roman"/>
      <family val="1"/>
    </font>
    <font>
      <sz val="18"/>
      <color indexed="8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20"/>
      <name val="Arial Cyr"/>
      <family val="0"/>
    </font>
    <font>
      <sz val="18"/>
      <name val="Arial"/>
      <family val="2"/>
    </font>
    <font>
      <b/>
      <sz val="10"/>
      <name val="Arial Cyr"/>
      <family val="0"/>
    </font>
    <font>
      <b/>
      <sz val="22"/>
      <name val="Times New Roman"/>
      <family val="1"/>
    </font>
    <font>
      <b/>
      <sz val="22"/>
      <name val="Arial Cyr"/>
      <family val="0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20"/>
      <name val="Arial"/>
      <family val="2"/>
    </font>
    <font>
      <b/>
      <sz val="16"/>
      <name val="Times New Roman"/>
      <family val="1"/>
    </font>
    <font>
      <b/>
      <u val="single"/>
      <sz val="14"/>
      <name val="Times New Roman"/>
      <family val="1"/>
    </font>
    <font>
      <b/>
      <u val="single"/>
      <sz val="10"/>
      <name val="Arial Cyr"/>
      <family val="0"/>
    </font>
    <font>
      <sz val="18"/>
      <name val="Arial Cyr"/>
      <family val="0"/>
    </font>
    <font>
      <b/>
      <sz val="24"/>
      <name val="Times New Roman"/>
      <family val="1"/>
    </font>
    <font>
      <sz val="24"/>
      <name val="Arial Cyr"/>
      <family val="0"/>
    </font>
    <font>
      <sz val="22"/>
      <name val="Times New Roman"/>
      <family val="1"/>
    </font>
    <font>
      <sz val="22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8"/>
      <color indexed="10"/>
      <name val="Times New Roman"/>
      <family val="1"/>
    </font>
    <font>
      <b/>
      <sz val="18"/>
      <color indexed="10"/>
      <name val="Times New Roman"/>
      <family val="1"/>
    </font>
    <font>
      <sz val="14"/>
      <color indexed="12"/>
      <name val="Times New Roman"/>
      <family val="1"/>
    </font>
    <font>
      <sz val="14"/>
      <color indexed="30"/>
      <name val="Times New Roman"/>
      <family val="1"/>
    </font>
    <font>
      <sz val="16"/>
      <color indexed="30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8"/>
      <color rgb="FFFF0000"/>
      <name val="Times New Roman"/>
      <family val="1"/>
    </font>
    <font>
      <b/>
      <sz val="18"/>
      <color rgb="FFFF0000"/>
      <name val="Times New Roman"/>
      <family val="1"/>
    </font>
    <font>
      <sz val="14"/>
      <color rgb="FF0000FF"/>
      <name val="Times New Roman"/>
      <family val="1"/>
    </font>
    <font>
      <sz val="18"/>
      <color rgb="FF0000FF"/>
      <name val="Times New Roman"/>
      <family val="1"/>
    </font>
    <font>
      <sz val="14"/>
      <color rgb="FF0070C0"/>
      <name val="Times New Roman"/>
      <family val="1"/>
    </font>
    <font>
      <sz val="16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2" fillId="0" borderId="0">
      <alignment/>
      <protection/>
    </xf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53">
      <alignment/>
      <protection/>
    </xf>
    <xf numFmtId="49" fontId="2" fillId="0" borderId="0" xfId="53" applyNumberFormat="1" applyBorder="1" applyAlignment="1">
      <alignment wrapText="1"/>
      <protection/>
    </xf>
    <xf numFmtId="0" fontId="2" fillId="0" borderId="0" xfId="53" applyBorder="1" applyAlignment="1">
      <alignment wrapText="1"/>
      <protection/>
    </xf>
    <xf numFmtId="0" fontId="2" fillId="0" borderId="0" xfId="53" applyBorder="1">
      <alignment/>
      <protection/>
    </xf>
    <xf numFmtId="49" fontId="2" fillId="0" borderId="0" xfId="53" applyNumberFormat="1" applyBorder="1">
      <alignment/>
      <protection/>
    </xf>
    <xf numFmtId="0" fontId="2" fillId="0" borderId="0" xfId="53" applyAlignment="1">
      <alignment horizontal="center" vertical="center" wrapText="1"/>
      <protection/>
    </xf>
    <xf numFmtId="0" fontId="3" fillId="0" borderId="0" xfId="53" applyFont="1">
      <alignment/>
      <protection/>
    </xf>
    <xf numFmtId="49" fontId="3" fillId="0" borderId="0" xfId="53" applyNumberFormat="1" applyFont="1" applyAlignment="1">
      <alignment horizontal="center"/>
      <protection/>
    </xf>
    <xf numFmtId="49" fontId="3" fillId="0" borderId="0" xfId="53" applyNumberFormat="1" applyFont="1">
      <alignment/>
      <protection/>
    </xf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9" fillId="0" borderId="0" xfId="53" applyFont="1">
      <alignment/>
      <protection/>
    </xf>
    <xf numFmtId="0" fontId="7" fillId="0" borderId="0" xfId="0" applyFont="1" applyAlignment="1">
      <alignment/>
    </xf>
    <xf numFmtId="2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2" fontId="4" fillId="0" borderId="0" xfId="0" applyNumberFormat="1" applyFont="1" applyAlignment="1">
      <alignment wrapText="1"/>
    </xf>
    <xf numFmtId="2" fontId="6" fillId="0" borderId="0" xfId="0" applyNumberFormat="1" applyFont="1" applyAlignment="1">
      <alignment wrapText="1"/>
    </xf>
    <xf numFmtId="0" fontId="1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wrapText="1"/>
    </xf>
    <xf numFmtId="2" fontId="13" fillId="0" borderId="10" xfId="0" applyNumberFormat="1" applyFont="1" applyBorder="1" applyAlignment="1">
      <alignment wrapText="1"/>
    </xf>
    <xf numFmtId="49" fontId="13" fillId="0" borderId="10" xfId="0" applyNumberFormat="1" applyFont="1" applyBorder="1" applyAlignment="1">
      <alignment horizontal="center" wrapText="1"/>
    </xf>
    <xf numFmtId="0" fontId="77" fillId="0" borderId="10" xfId="0" applyFont="1" applyBorder="1" applyAlignment="1">
      <alignment wrapText="1"/>
    </xf>
    <xf numFmtId="49" fontId="16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wrapText="1"/>
    </xf>
    <xf numFmtId="2" fontId="16" fillId="0" borderId="10" xfId="0" applyNumberFormat="1" applyFont="1" applyBorder="1" applyAlignment="1">
      <alignment wrapText="1"/>
    </xf>
    <xf numFmtId="0" fontId="13" fillId="0" borderId="0" xfId="0" applyFont="1" applyAlignment="1">
      <alignment wrapText="1"/>
    </xf>
    <xf numFmtId="0" fontId="13" fillId="0" borderId="0" xfId="53" applyFont="1" applyAlignment="1">
      <alignment horizontal="center"/>
      <protection/>
    </xf>
    <xf numFmtId="0" fontId="13" fillId="0" borderId="0" xfId="53" applyFont="1">
      <alignment/>
      <protection/>
    </xf>
    <xf numFmtId="0" fontId="13" fillId="0" borderId="10" xfId="53" applyFont="1" applyBorder="1" applyAlignment="1">
      <alignment horizontal="center" wrapText="1"/>
      <protection/>
    </xf>
    <xf numFmtId="0" fontId="13" fillId="0" borderId="10" xfId="53" applyFont="1" applyBorder="1" applyAlignment="1">
      <alignment horizontal="left" wrapText="1"/>
      <protection/>
    </xf>
    <xf numFmtId="0" fontId="13" fillId="0" borderId="10" xfId="53" applyFont="1" applyBorder="1" applyAlignment="1">
      <alignment wrapText="1"/>
      <protection/>
    </xf>
    <xf numFmtId="0" fontId="13" fillId="0" borderId="10" xfId="53" applyFont="1" applyFill="1" applyBorder="1" applyAlignment="1">
      <alignment horizontal="left" wrapText="1"/>
      <protection/>
    </xf>
    <xf numFmtId="0" fontId="13" fillId="0" borderId="10" xfId="53" applyFont="1" applyBorder="1" applyAlignment="1">
      <alignment horizontal="center"/>
      <protection/>
    </xf>
    <xf numFmtId="49" fontId="13" fillId="0" borderId="0" xfId="53" applyNumberFormat="1" applyFont="1">
      <alignment/>
      <protection/>
    </xf>
    <xf numFmtId="49" fontId="13" fillId="0" borderId="0" xfId="53" applyNumberFormat="1" applyFont="1" applyAlignment="1">
      <alignment horizontal="center"/>
      <protection/>
    </xf>
    <xf numFmtId="49" fontId="13" fillId="0" borderId="10" xfId="53" applyNumberFormat="1" applyFont="1" applyBorder="1" applyAlignment="1">
      <alignment horizontal="center" wrapText="1"/>
      <protection/>
    </xf>
    <xf numFmtId="49" fontId="13" fillId="0" borderId="10" xfId="53" applyNumberFormat="1" applyFont="1" applyBorder="1" applyAlignment="1">
      <alignment horizontal="center"/>
      <protection/>
    </xf>
    <xf numFmtId="0" fontId="16" fillId="0" borderId="10" xfId="53" applyFont="1" applyFill="1" applyBorder="1" applyAlignment="1">
      <alignment horizontal="left" wrapText="1"/>
      <protection/>
    </xf>
    <xf numFmtId="49" fontId="16" fillId="0" borderId="10" xfId="53" applyNumberFormat="1" applyFont="1" applyBorder="1" applyAlignment="1">
      <alignment horizontal="center"/>
      <protection/>
    </xf>
    <xf numFmtId="0" fontId="11" fillId="0" borderId="0" xfId="53" applyFont="1">
      <alignment/>
      <protection/>
    </xf>
    <xf numFmtId="2" fontId="15" fillId="0" borderId="10" xfId="0" applyNumberFormat="1" applyFont="1" applyBorder="1" applyAlignment="1">
      <alignment wrapText="1"/>
    </xf>
    <xf numFmtId="2" fontId="16" fillId="0" borderId="10" xfId="0" applyNumberFormat="1" applyFont="1" applyBorder="1" applyAlignment="1">
      <alignment horizontal="right" wrapText="1"/>
    </xf>
    <xf numFmtId="2" fontId="13" fillId="0" borderId="10" xfId="0" applyNumberFormat="1" applyFont="1" applyBorder="1" applyAlignment="1">
      <alignment horizontal="right" wrapText="1"/>
    </xf>
    <xf numFmtId="0" fontId="9" fillId="0" borderId="0" xfId="53" applyFont="1" applyAlignment="1">
      <alignment horizontal="left" wrapText="1"/>
      <protection/>
    </xf>
    <xf numFmtId="0" fontId="13" fillId="0" borderId="0" xfId="0" applyFont="1" applyBorder="1" applyAlignment="1">
      <alignment horizontal="center" wrapText="1"/>
    </xf>
    <xf numFmtId="0" fontId="11" fillId="0" borderId="0" xfId="53" applyFont="1" applyAlignment="1">
      <alignment horizontal="center"/>
      <protection/>
    </xf>
    <xf numFmtId="49" fontId="11" fillId="0" borderId="0" xfId="53" applyNumberFormat="1" applyFont="1">
      <alignment/>
      <protection/>
    </xf>
    <xf numFmtId="0" fontId="2" fillId="0" borderId="0" xfId="53" applyFont="1">
      <alignment/>
      <protection/>
    </xf>
    <xf numFmtId="0" fontId="17" fillId="0" borderId="0" xfId="53" applyFont="1" applyAlignment="1">
      <alignment horizontal="right" wrapText="1"/>
      <protection/>
    </xf>
    <xf numFmtId="0" fontId="9" fillId="0" borderId="0" xfId="53" applyFont="1">
      <alignment/>
      <protection/>
    </xf>
    <xf numFmtId="49" fontId="11" fillId="0" borderId="0" xfId="53" applyNumberFormat="1" applyFont="1" applyBorder="1" applyAlignment="1">
      <alignment horizontal="center" vertical="center" wrapText="1"/>
      <protection/>
    </xf>
    <xf numFmtId="0" fontId="11" fillId="0" borderId="0" xfId="53" applyFont="1" applyBorder="1" applyAlignment="1">
      <alignment horizontal="left" vertical="center" wrapText="1"/>
      <protection/>
    </xf>
    <xf numFmtId="0" fontId="11" fillId="0" borderId="0" xfId="53" applyFont="1" applyBorder="1" applyAlignment="1">
      <alignment horizontal="center" vertical="center" wrapText="1"/>
      <protection/>
    </xf>
    <xf numFmtId="188" fontId="11" fillId="0" borderId="0" xfId="53" applyNumberFormat="1" applyFont="1" applyBorder="1" applyAlignment="1">
      <alignment horizontal="center" vertical="center" wrapText="1"/>
      <protection/>
    </xf>
    <xf numFmtId="0" fontId="19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 wrapText="1"/>
    </xf>
    <xf numFmtId="2" fontId="77" fillId="0" borderId="10" xfId="0" applyNumberFormat="1" applyFont="1" applyBorder="1" applyAlignment="1">
      <alignment wrapText="1"/>
    </xf>
    <xf numFmtId="0" fontId="0" fillId="0" borderId="0" xfId="0" applyAlignment="1">
      <alignment/>
    </xf>
    <xf numFmtId="0" fontId="13" fillId="0" borderId="11" xfId="53" applyFont="1" applyBorder="1" applyAlignment="1">
      <alignment horizontal="center" wrapText="1"/>
      <protection/>
    </xf>
    <xf numFmtId="0" fontId="13" fillId="0" borderId="11" xfId="53" applyFont="1" applyBorder="1" applyAlignment="1">
      <alignment horizontal="center"/>
      <protection/>
    </xf>
    <xf numFmtId="0" fontId="13" fillId="0" borderId="10" xfId="53" applyFont="1" applyBorder="1">
      <alignment/>
      <protection/>
    </xf>
    <xf numFmtId="0" fontId="13" fillId="0" borderId="10" xfId="53" applyFont="1" applyBorder="1" applyAlignment="1">
      <alignment horizontal="right" wrapText="1"/>
      <protection/>
    </xf>
    <xf numFmtId="2" fontId="13" fillId="0" borderId="10" xfId="53" applyNumberFormat="1" applyFont="1" applyBorder="1" applyAlignment="1">
      <alignment horizontal="right" wrapText="1"/>
      <protection/>
    </xf>
    <xf numFmtId="2" fontId="13" fillId="0" borderId="10" xfId="53" applyNumberFormat="1" applyFont="1" applyBorder="1" applyAlignment="1">
      <alignment horizontal="right"/>
      <protection/>
    </xf>
    <xf numFmtId="0" fontId="13" fillId="0" borderId="10" xfId="53" applyFont="1" applyBorder="1" applyAlignment="1">
      <alignment horizontal="right"/>
      <protection/>
    </xf>
    <xf numFmtId="2" fontId="13" fillId="0" borderId="10" xfId="53" applyNumberFormat="1" applyFont="1" applyBorder="1">
      <alignment/>
      <protection/>
    </xf>
    <xf numFmtId="0" fontId="21" fillId="0" borderId="0" xfId="53" applyFont="1">
      <alignment/>
      <protection/>
    </xf>
    <xf numFmtId="49" fontId="21" fillId="0" borderId="0" xfId="53" applyNumberFormat="1" applyFont="1">
      <alignment/>
      <protection/>
    </xf>
    <xf numFmtId="0" fontId="21" fillId="0" borderId="0" xfId="53" applyFont="1" applyAlignment="1">
      <alignment horizontal="center"/>
      <protection/>
    </xf>
    <xf numFmtId="0" fontId="22" fillId="0" borderId="0" xfId="0" applyFont="1" applyAlignment="1">
      <alignment horizontal="center" wrapText="1"/>
    </xf>
    <xf numFmtId="0" fontId="16" fillId="0" borderId="0" xfId="53" applyFont="1" applyAlignment="1">
      <alignment horizontal="center" wrapText="1"/>
      <protection/>
    </xf>
    <xf numFmtId="0" fontId="17" fillId="0" borderId="10" xfId="53" applyFont="1" applyBorder="1" applyAlignment="1">
      <alignment horizontal="center" vertical="center" wrapText="1"/>
      <protection/>
    </xf>
    <xf numFmtId="0" fontId="17" fillId="0" borderId="10" xfId="53" applyFont="1" applyBorder="1" applyAlignment="1">
      <alignment horizontal="center" vertical="center"/>
      <protection/>
    </xf>
    <xf numFmtId="0" fontId="17" fillId="0" borderId="10" xfId="53" applyFont="1" applyBorder="1" applyAlignment="1">
      <alignment horizontal="center" wrapText="1"/>
      <protection/>
    </xf>
    <xf numFmtId="49" fontId="17" fillId="0" borderId="10" xfId="53" applyNumberFormat="1" applyFont="1" applyBorder="1" applyAlignment="1">
      <alignment horizontal="center" vertical="center" wrapText="1"/>
      <protection/>
    </xf>
    <xf numFmtId="2" fontId="17" fillId="0" borderId="10" xfId="53" applyNumberFormat="1" applyFont="1" applyBorder="1" applyAlignment="1">
      <alignment horizontal="center" vertical="center" wrapText="1"/>
      <protection/>
    </xf>
    <xf numFmtId="0" fontId="17" fillId="0" borderId="10" xfId="53" applyFont="1" applyBorder="1" applyAlignment="1">
      <alignment horizontal="left" vertical="center" wrapText="1"/>
      <protection/>
    </xf>
    <xf numFmtId="49" fontId="17" fillId="0" borderId="10" xfId="53" applyNumberFormat="1" applyFont="1" applyBorder="1" applyAlignment="1">
      <alignment horizontal="center" vertical="center"/>
      <protection/>
    </xf>
    <xf numFmtId="188" fontId="17" fillId="0" borderId="10" xfId="53" applyNumberFormat="1" applyFont="1" applyBorder="1" applyAlignment="1">
      <alignment horizontal="center" vertical="center" wrapText="1"/>
      <protection/>
    </xf>
    <xf numFmtId="2" fontId="16" fillId="0" borderId="0" xfId="0" applyNumberFormat="1" applyFont="1" applyBorder="1" applyAlignment="1">
      <alignment wrapText="1"/>
    </xf>
    <xf numFmtId="0" fontId="11" fillId="0" borderId="0" xfId="0" applyFont="1" applyAlignment="1">
      <alignment/>
    </xf>
    <xf numFmtId="0" fontId="25" fillId="0" borderId="0" xfId="0" applyFont="1" applyAlignment="1">
      <alignment/>
    </xf>
    <xf numFmtId="0" fontId="12" fillId="0" borderId="10" xfId="0" applyFont="1" applyBorder="1" applyAlignment="1">
      <alignment horizontal="center" vertical="center" textRotation="90" wrapText="1"/>
    </xf>
    <xf numFmtId="0" fontId="27" fillId="0" borderId="0" xfId="53" applyFont="1">
      <alignment/>
      <protection/>
    </xf>
    <xf numFmtId="0" fontId="17" fillId="0" borderId="10" xfId="53" applyFont="1" applyBorder="1" applyAlignment="1">
      <alignment horizontal="center"/>
      <protection/>
    </xf>
    <xf numFmtId="0" fontId="17" fillId="0" borderId="10" xfId="0" applyFont="1" applyBorder="1" applyAlignment="1">
      <alignment horizontal="center" vertical="center" wrapText="1"/>
    </xf>
    <xf numFmtId="0" fontId="17" fillId="0" borderId="10" xfId="53" applyFont="1" applyBorder="1" applyAlignment="1">
      <alignment horizontal="left" wrapText="1"/>
      <protection/>
    </xf>
    <xf numFmtId="2" fontId="17" fillId="0" borderId="10" xfId="53" applyNumberFormat="1" applyFont="1" applyBorder="1" applyAlignment="1">
      <alignment horizontal="center" wrapText="1"/>
      <protection/>
    </xf>
    <xf numFmtId="49" fontId="17" fillId="0" borderId="10" xfId="53" applyNumberFormat="1" applyFont="1" applyBorder="1" applyAlignment="1">
      <alignment horizontal="center" wrapText="1"/>
      <protection/>
    </xf>
    <xf numFmtId="0" fontId="17" fillId="0" borderId="10" xfId="53" applyFont="1" applyBorder="1" applyAlignment="1">
      <alignment wrapText="1"/>
      <protection/>
    </xf>
    <xf numFmtId="0" fontId="17" fillId="0" borderId="10" xfId="0" applyFont="1" applyBorder="1" applyAlignment="1">
      <alignment wrapText="1"/>
    </xf>
    <xf numFmtId="0" fontId="17" fillId="0" borderId="10" xfId="53" applyFont="1" applyFill="1" applyBorder="1" applyAlignment="1">
      <alignment horizontal="left" wrapText="1"/>
      <protection/>
    </xf>
    <xf numFmtId="2" fontId="17" fillId="0" borderId="10" xfId="53" applyNumberFormat="1" applyFont="1" applyBorder="1" applyAlignment="1">
      <alignment horizontal="center"/>
      <protection/>
    </xf>
    <xf numFmtId="49" fontId="28" fillId="0" borderId="10" xfId="53" applyNumberFormat="1" applyFont="1" applyBorder="1" applyAlignment="1">
      <alignment horizontal="center" wrapText="1"/>
      <protection/>
    </xf>
    <xf numFmtId="0" fontId="28" fillId="0" borderId="10" xfId="53" applyFont="1" applyFill="1" applyBorder="1" applyAlignment="1">
      <alignment horizontal="left" wrapText="1"/>
      <protection/>
    </xf>
    <xf numFmtId="49" fontId="28" fillId="0" borderId="10" xfId="53" applyNumberFormat="1" applyFont="1" applyBorder="1" applyAlignment="1">
      <alignment horizontal="center"/>
      <protection/>
    </xf>
    <xf numFmtId="0" fontId="28" fillId="0" borderId="10" xfId="53" applyFont="1" applyBorder="1" applyAlignment="1">
      <alignment wrapText="1"/>
      <protection/>
    </xf>
    <xf numFmtId="0" fontId="13" fillId="0" borderId="0" xfId="0" applyFont="1" applyAlignment="1">
      <alignment/>
    </xf>
    <xf numFmtId="0" fontId="13" fillId="33" borderId="10" xfId="0" applyFont="1" applyFill="1" applyBorder="1" applyAlignment="1">
      <alignment wrapText="1"/>
    </xf>
    <xf numFmtId="49" fontId="78" fillId="0" borderId="10" xfId="0" applyNumberFormat="1" applyFont="1" applyBorder="1" applyAlignment="1">
      <alignment horizontal="center" wrapText="1"/>
    </xf>
    <xf numFmtId="2" fontId="13" fillId="0" borderId="0" xfId="0" applyNumberFormat="1" applyFont="1" applyAlignment="1">
      <alignment wrapText="1"/>
    </xf>
    <xf numFmtId="2" fontId="16" fillId="0" borderId="10" xfId="53" applyNumberFormat="1" applyFont="1" applyBorder="1" applyAlignment="1">
      <alignment horizontal="right"/>
      <protection/>
    </xf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" fontId="13" fillId="0" borderId="0" xfId="0" applyNumberFormat="1" applyFont="1" applyBorder="1" applyAlignment="1">
      <alignment wrapText="1"/>
    </xf>
    <xf numFmtId="2" fontId="11" fillId="0" borderId="0" xfId="53" applyNumberFormat="1" applyFont="1" applyBorder="1" applyAlignment="1">
      <alignment horizontal="center"/>
      <protection/>
    </xf>
    <xf numFmtId="2" fontId="11" fillId="0" borderId="0" xfId="53" applyNumberFormat="1" applyFont="1" applyBorder="1" applyAlignment="1">
      <alignment horizontal="center" wrapText="1"/>
      <protection/>
    </xf>
    <xf numFmtId="2" fontId="16" fillId="0" borderId="0" xfId="0" applyNumberFormat="1" applyFont="1" applyBorder="1" applyAlignment="1">
      <alignment horizontal="right" wrapText="1"/>
    </xf>
    <xf numFmtId="0" fontId="16" fillId="0" borderId="10" xfId="53" applyFont="1" applyBorder="1" applyAlignment="1">
      <alignment horizontal="right"/>
      <protection/>
    </xf>
    <xf numFmtId="2" fontId="28" fillId="0" borderId="10" xfId="0" applyNumberFormat="1" applyFont="1" applyBorder="1" applyAlignment="1">
      <alignment horizontal="right" wrapText="1"/>
    </xf>
    <xf numFmtId="2" fontId="79" fillId="0" borderId="0" xfId="53" applyNumberFormat="1" applyFont="1">
      <alignment/>
      <protection/>
    </xf>
    <xf numFmtId="2" fontId="80" fillId="0" borderId="0" xfId="53" applyNumberFormat="1" applyFont="1">
      <alignment/>
      <protection/>
    </xf>
    <xf numFmtId="2" fontId="14" fillId="0" borderId="10" xfId="53" applyNumberFormat="1" applyFont="1" applyBorder="1" applyAlignment="1">
      <alignment horizontal="right" wrapText="1"/>
      <protection/>
    </xf>
    <xf numFmtId="2" fontId="13" fillId="0" borderId="0" xfId="53" applyNumberFormat="1" applyFont="1">
      <alignment/>
      <protection/>
    </xf>
    <xf numFmtId="0" fontId="16" fillId="33" borderId="10" xfId="0" applyFont="1" applyFill="1" applyBorder="1" applyAlignment="1">
      <alignment wrapText="1"/>
    </xf>
    <xf numFmtId="2" fontId="28" fillId="0" borderId="10" xfId="53" applyNumberFormat="1" applyFont="1" applyBorder="1" applyAlignment="1">
      <alignment horizontal="right"/>
      <protection/>
    </xf>
    <xf numFmtId="2" fontId="17" fillId="0" borderId="10" xfId="53" applyNumberFormat="1" applyFont="1" applyBorder="1" applyAlignment="1">
      <alignment horizontal="center" vertical="center"/>
      <protection/>
    </xf>
    <xf numFmtId="2" fontId="28" fillId="0" borderId="10" xfId="53" applyNumberFormat="1" applyFont="1" applyBorder="1" applyAlignment="1">
      <alignment horizontal="center"/>
      <protection/>
    </xf>
    <xf numFmtId="2" fontId="28" fillId="0" borderId="10" xfId="53" applyNumberFormat="1" applyFont="1" applyBorder="1" applyAlignment="1">
      <alignment horizontal="center" vertical="center" wrapText="1"/>
      <protection/>
    </xf>
    <xf numFmtId="1" fontId="17" fillId="0" borderId="10" xfId="53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right"/>
    </xf>
    <xf numFmtId="2" fontId="17" fillId="0" borderId="0" xfId="53" applyNumberFormat="1" applyFont="1" applyBorder="1" applyAlignment="1">
      <alignment horizontal="center"/>
      <protection/>
    </xf>
    <xf numFmtId="2" fontId="78" fillId="0" borderId="10" xfId="0" applyNumberFormat="1" applyFont="1" applyBorder="1" applyAlignment="1">
      <alignment wrapText="1"/>
    </xf>
    <xf numFmtId="2" fontId="81" fillId="0" borderId="0" xfId="53" applyNumberFormat="1" applyFont="1">
      <alignment/>
      <protection/>
    </xf>
    <xf numFmtId="2" fontId="82" fillId="0" borderId="10" xfId="53" applyNumberFormat="1" applyFont="1" applyBorder="1" applyAlignment="1">
      <alignment horizontal="center" wrapText="1"/>
      <protection/>
    </xf>
    <xf numFmtId="0" fontId="28" fillId="0" borderId="10" xfId="53" applyFont="1" applyBorder="1" applyAlignment="1">
      <alignment horizontal="right" wrapText="1"/>
      <protection/>
    </xf>
    <xf numFmtId="188" fontId="82" fillId="0" borderId="10" xfId="53" applyNumberFormat="1" applyFont="1" applyBorder="1" applyAlignment="1">
      <alignment horizontal="center" wrapText="1"/>
      <protection/>
    </xf>
    <xf numFmtId="0" fontId="81" fillId="33" borderId="10" xfId="0" applyFont="1" applyFill="1" applyBorder="1" applyAlignment="1">
      <alignment wrapText="1"/>
    </xf>
    <xf numFmtId="49" fontId="81" fillId="0" borderId="10" xfId="53" applyNumberFormat="1" applyFont="1" applyBorder="1" applyAlignment="1">
      <alignment horizontal="center" wrapText="1"/>
      <protection/>
    </xf>
    <xf numFmtId="2" fontId="11" fillId="0" borderId="10" xfId="53" applyNumberFormat="1" applyFont="1" applyBorder="1">
      <alignment/>
      <protection/>
    </xf>
    <xf numFmtId="0" fontId="16" fillId="0" borderId="10" xfId="53" applyFont="1" applyBorder="1" applyAlignment="1">
      <alignment horizontal="center"/>
      <protection/>
    </xf>
    <xf numFmtId="0" fontId="25" fillId="0" borderId="10" xfId="53" applyFont="1" applyBorder="1" applyAlignment="1">
      <alignment wrapText="1"/>
      <protection/>
    </xf>
    <xf numFmtId="190" fontId="17" fillId="0" borderId="10" xfId="53" applyNumberFormat="1" applyFont="1" applyBorder="1" applyAlignment="1">
      <alignment horizontal="center"/>
      <protection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wrapText="1"/>
    </xf>
    <xf numFmtId="0" fontId="16" fillId="0" borderId="0" xfId="0" applyFont="1" applyAlignment="1">
      <alignment horizontal="right" wrapText="1"/>
    </xf>
    <xf numFmtId="0" fontId="13" fillId="0" borderId="12" xfId="0" applyFont="1" applyBorder="1" applyAlignment="1">
      <alignment wrapText="1"/>
    </xf>
    <xf numFmtId="0" fontId="0" fillId="0" borderId="0" xfId="0" applyAlignment="1">
      <alignment horizontal="right" wrapText="1"/>
    </xf>
    <xf numFmtId="0" fontId="20" fillId="0" borderId="13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2" fontId="14" fillId="0" borderId="10" xfId="0" applyNumberFormat="1" applyFont="1" applyBorder="1" applyAlignment="1">
      <alignment wrapText="1"/>
    </xf>
    <xf numFmtId="2" fontId="4" fillId="0" borderId="0" xfId="0" applyNumberFormat="1" applyFont="1" applyBorder="1" applyAlignment="1">
      <alignment wrapText="1"/>
    </xf>
    <xf numFmtId="2" fontId="5" fillId="0" borderId="0" xfId="0" applyNumberFormat="1" applyFont="1" applyBorder="1" applyAlignment="1">
      <alignment wrapText="1"/>
    </xf>
    <xf numFmtId="2" fontId="7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/>
    </xf>
    <xf numFmtId="0" fontId="17" fillId="0" borderId="0" xfId="0" applyFont="1" applyAlignment="1">
      <alignment wrapText="1"/>
    </xf>
    <xf numFmtId="2" fontId="17" fillId="0" borderId="0" xfId="0" applyNumberFormat="1" applyFont="1" applyAlignment="1">
      <alignment wrapText="1"/>
    </xf>
    <xf numFmtId="0" fontId="13" fillId="0" borderId="0" xfId="53" applyFont="1" applyBorder="1" applyAlignment="1">
      <alignment horizontal="left"/>
      <protection/>
    </xf>
    <xf numFmtId="2" fontId="11" fillId="0" borderId="0" xfId="53" applyNumberFormat="1" applyFont="1">
      <alignment/>
      <protection/>
    </xf>
    <xf numFmtId="2" fontId="31" fillId="0" borderId="0" xfId="0" applyNumberFormat="1" applyFont="1" applyAlignment="1">
      <alignment wrapText="1"/>
    </xf>
    <xf numFmtId="49" fontId="78" fillId="0" borderId="0" xfId="0" applyNumberFormat="1" applyFont="1" applyBorder="1" applyAlignment="1">
      <alignment horizontal="center" wrapText="1"/>
    </xf>
    <xf numFmtId="0" fontId="77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20" fillId="0" borderId="0" xfId="0" applyFont="1" applyAlignment="1">
      <alignment horizontal="right" wrapText="1"/>
    </xf>
    <xf numFmtId="0" fontId="17" fillId="0" borderId="0" xfId="0" applyFont="1" applyAlignment="1">
      <alignment horizontal="right" wrapText="1"/>
    </xf>
    <xf numFmtId="188" fontId="13" fillId="0" borderId="10" xfId="0" applyNumberFormat="1" applyFont="1" applyBorder="1" applyAlignment="1">
      <alignment wrapText="1"/>
    </xf>
    <xf numFmtId="2" fontId="77" fillId="0" borderId="10" xfId="53" applyNumberFormat="1" applyFont="1" applyBorder="1">
      <alignment/>
      <protection/>
    </xf>
    <xf numFmtId="0" fontId="11" fillId="0" borderId="0" xfId="0" applyFont="1" applyAlignment="1">
      <alignment wrapText="1"/>
    </xf>
    <xf numFmtId="0" fontId="0" fillId="0" borderId="0" xfId="0" applyAlignment="1">
      <alignment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1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/>
    </xf>
    <xf numFmtId="0" fontId="0" fillId="0" borderId="12" xfId="0" applyBorder="1" applyAlignment="1">
      <alignment/>
    </xf>
    <xf numFmtId="0" fontId="1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34" fillId="0" borderId="0" xfId="0" applyFont="1" applyAlignment="1">
      <alignment horizontal="right" wrapText="1"/>
    </xf>
    <xf numFmtId="0" fontId="35" fillId="0" borderId="0" xfId="0" applyFont="1" applyAlignment="1">
      <alignment horizontal="right" wrapText="1"/>
    </xf>
    <xf numFmtId="0" fontId="12" fillId="0" borderId="0" xfId="0" applyFont="1" applyAlignment="1">
      <alignment horizontal="right"/>
    </xf>
    <xf numFmtId="0" fontId="20" fillId="0" borderId="0" xfId="0" applyFont="1" applyAlignment="1">
      <alignment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7" fillId="0" borderId="0" xfId="53" applyFont="1" applyAlignment="1">
      <alignment horizontal="right" wrapText="1"/>
      <protection/>
    </xf>
    <xf numFmtId="0" fontId="1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2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wrapText="1"/>
    </xf>
    <xf numFmtId="0" fontId="12" fillId="0" borderId="13" xfId="53" applyFont="1" applyBorder="1" applyAlignment="1">
      <alignment horizontal="right"/>
      <protection/>
    </xf>
    <xf numFmtId="0" fontId="0" fillId="0" borderId="13" xfId="0" applyBorder="1" applyAlignment="1">
      <alignment/>
    </xf>
    <xf numFmtId="2" fontId="13" fillId="0" borderId="17" xfId="53" applyNumberFormat="1" applyFont="1" applyBorder="1" applyAlignment="1">
      <alignment horizontal="right" wrapText="1"/>
      <protection/>
    </xf>
    <xf numFmtId="0" fontId="13" fillId="0" borderId="0" xfId="53" applyFont="1" applyBorder="1" applyAlignment="1">
      <alignment horizontal="right" wrapText="1"/>
      <protection/>
    </xf>
    <xf numFmtId="0" fontId="12" fillId="0" borderId="0" xfId="53" applyFont="1" applyAlignment="1">
      <alignment horizontal="right"/>
      <protection/>
    </xf>
    <xf numFmtId="0" fontId="2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14" xfId="53" applyFont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0" fontId="12" fillId="0" borderId="10" xfId="53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12" fillId="0" borderId="0" xfId="53" applyFont="1" applyBorder="1" applyAlignment="1">
      <alignment horizontal="right"/>
      <protection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wrapText="1"/>
    </xf>
    <xf numFmtId="0" fontId="12" fillId="0" borderId="15" xfId="53" applyFont="1" applyBorder="1" applyAlignment="1">
      <alignment horizontal="center" vertical="center" wrapText="1"/>
      <protection/>
    </xf>
    <xf numFmtId="0" fontId="23" fillId="0" borderId="0" xfId="53" applyFont="1" applyAlignment="1">
      <alignment horizontal="center" wrapText="1"/>
      <protection/>
    </xf>
    <xf numFmtId="0" fontId="24" fillId="0" borderId="0" xfId="0" applyFont="1" applyAlignment="1">
      <alignment/>
    </xf>
    <xf numFmtId="0" fontId="13" fillId="0" borderId="0" xfId="0" applyFont="1" applyAlignment="1">
      <alignment horizontal="right"/>
    </xf>
    <xf numFmtId="0" fontId="12" fillId="0" borderId="0" xfId="0" applyNumberFormat="1" applyFont="1" applyAlignment="1">
      <alignment wrapText="1"/>
    </xf>
    <xf numFmtId="0" fontId="20" fillId="0" borderId="0" xfId="0" applyNumberFormat="1" applyFont="1" applyAlignment="1">
      <alignment/>
    </xf>
    <xf numFmtId="0" fontId="23" fillId="0" borderId="0" xfId="53" applyFont="1" applyAlignment="1">
      <alignment horizontal="center"/>
      <protection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2" fillId="0" borderId="0" xfId="0" applyFont="1" applyAlignment="1">
      <alignment horizontal="right" wrapText="1"/>
    </xf>
    <xf numFmtId="0" fontId="13" fillId="0" borderId="0" xfId="0" applyFont="1" applyAlignment="1">
      <alignment/>
    </xf>
    <xf numFmtId="0" fontId="11" fillId="0" borderId="0" xfId="0" applyFont="1" applyAlignment="1">
      <alignment horizontal="right"/>
    </xf>
    <xf numFmtId="0" fontId="17" fillId="0" borderId="14" xfId="53" applyFont="1" applyBorder="1" applyAlignment="1">
      <alignment horizontal="center" vertical="center" wrapText="1"/>
      <protection/>
    </xf>
    <xf numFmtId="0" fontId="7" fillId="0" borderId="15" xfId="0" applyFont="1" applyBorder="1" applyAlignment="1">
      <alignment/>
    </xf>
    <xf numFmtId="0" fontId="17" fillId="0" borderId="10" xfId="53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/>
    </xf>
    <xf numFmtId="0" fontId="19" fillId="0" borderId="0" xfId="0" applyFont="1" applyAlignment="1">
      <alignment/>
    </xf>
    <xf numFmtId="49" fontId="13" fillId="0" borderId="12" xfId="53" applyNumberFormat="1" applyFont="1" applyBorder="1" applyAlignment="1">
      <alignment horizontal="center"/>
      <protection/>
    </xf>
    <xf numFmtId="0" fontId="16" fillId="0" borderId="0" xfId="53" applyFont="1" applyAlignment="1">
      <alignment horizontal="center"/>
      <protection/>
    </xf>
    <xf numFmtId="0" fontId="16" fillId="0" borderId="0" xfId="0" applyFont="1" applyAlignment="1">
      <alignment/>
    </xf>
    <xf numFmtId="0" fontId="22" fillId="0" borderId="0" xfId="0" applyFont="1" applyAlignment="1">
      <alignment/>
    </xf>
    <xf numFmtId="0" fontId="16" fillId="0" borderId="0" xfId="53" applyFont="1" applyAlignment="1">
      <alignment horizontal="center" wrapText="1"/>
      <protection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0" xfId="53" applyFont="1" applyBorder="1" applyAlignment="1">
      <alignment horizontal="right"/>
      <protection/>
    </xf>
    <xf numFmtId="0" fontId="0" fillId="0" borderId="15" xfId="0" applyBorder="1" applyAlignment="1">
      <alignment horizontal="center"/>
    </xf>
    <xf numFmtId="0" fontId="17" fillId="0" borderId="0" xfId="0" applyNumberFormat="1" applyFont="1" applyAlignment="1">
      <alignment wrapText="1"/>
    </xf>
    <xf numFmtId="0" fontId="7" fillId="0" borderId="0" xfId="0" applyNumberFormat="1" applyFont="1" applyAlignment="1">
      <alignment/>
    </xf>
    <xf numFmtId="0" fontId="17" fillId="0" borderId="0" xfId="0" applyFont="1" applyAlignment="1">
      <alignment wrapText="1"/>
    </xf>
    <xf numFmtId="0" fontId="7" fillId="0" borderId="0" xfId="0" applyFont="1" applyAlignment="1">
      <alignment/>
    </xf>
    <xf numFmtId="49" fontId="17" fillId="0" borderId="0" xfId="53" applyNumberFormat="1" applyFont="1" applyAlignment="1">
      <alignment horizontal="left"/>
      <protection/>
    </xf>
    <xf numFmtId="0" fontId="17" fillId="0" borderId="0" xfId="0" applyFont="1" applyAlignment="1">
      <alignment horizontal="left"/>
    </xf>
    <xf numFmtId="0" fontId="11" fillId="0" borderId="0" xfId="53" applyFont="1" applyAlignment="1">
      <alignment horizontal="center"/>
      <protection/>
    </xf>
    <xf numFmtId="49" fontId="17" fillId="0" borderId="12" xfId="53" applyNumberFormat="1" applyFont="1" applyBorder="1" applyAlignment="1">
      <alignment/>
      <protection/>
    </xf>
    <xf numFmtId="0" fontId="17" fillId="0" borderId="10" xfId="53" applyFont="1" applyBorder="1" applyAlignment="1">
      <alignment horizontal="center" vertical="center"/>
      <protection/>
    </xf>
    <xf numFmtId="0" fontId="17" fillId="0" borderId="0" xfId="53" applyFont="1" applyAlignment="1">
      <alignment horizontal="center" wrapText="1"/>
      <protection/>
    </xf>
    <xf numFmtId="0" fontId="9" fillId="0" borderId="0" xfId="53" applyFont="1" applyAlignment="1">
      <alignment horizontal="left" wrapText="1"/>
      <protection/>
    </xf>
    <xf numFmtId="0" fontId="17" fillId="0" borderId="13" xfId="53" applyFont="1" applyBorder="1" applyAlignment="1">
      <alignment horizontal="right"/>
      <protection/>
    </xf>
    <xf numFmtId="0" fontId="0" fillId="0" borderId="13" xfId="0" applyBorder="1" applyAlignment="1">
      <alignment horizontal="right"/>
    </xf>
    <xf numFmtId="0" fontId="13" fillId="0" borderId="0" xfId="53" applyFont="1" applyAlignment="1">
      <alignment horizontal="center"/>
      <protection/>
    </xf>
    <xf numFmtId="0" fontId="13" fillId="0" borderId="0" xfId="53" applyFont="1" applyAlignment="1">
      <alignment horizontal="center" wrapText="1"/>
      <protection/>
    </xf>
    <xf numFmtId="0" fontId="13" fillId="0" borderId="0" xfId="0" applyFont="1" applyAlignment="1">
      <alignment horizontal="center" wrapText="1"/>
    </xf>
    <xf numFmtId="0" fontId="17" fillId="0" borderId="0" xfId="0" applyFont="1" applyAlignment="1">
      <alignment horizontal="right"/>
    </xf>
    <xf numFmtId="0" fontId="19" fillId="0" borderId="0" xfId="53" applyFont="1" applyAlignment="1">
      <alignment horizontal="right" wrapText="1"/>
      <protection/>
    </xf>
    <xf numFmtId="49" fontId="17" fillId="0" borderId="0" xfId="53" applyNumberFormat="1" applyFont="1" applyBorder="1" applyAlignment="1">
      <alignment horizontal="center"/>
      <protection/>
    </xf>
    <xf numFmtId="0" fontId="16" fillId="0" borderId="0" xfId="0" applyFont="1" applyAlignment="1">
      <alignment horizontal="right" wrapText="1"/>
    </xf>
    <xf numFmtId="0" fontId="31" fillId="0" borderId="0" xfId="0" applyFont="1" applyAlignment="1">
      <alignment horizontal="right" wrapText="1"/>
    </xf>
    <xf numFmtId="0" fontId="12" fillId="0" borderId="18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wrapText="1"/>
    </xf>
    <xf numFmtId="0" fontId="31" fillId="0" borderId="16" xfId="0" applyFont="1" applyBorder="1" applyAlignment="1">
      <alignment horizont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0" fontId="32" fillId="0" borderId="0" xfId="0" applyFont="1" applyAlignment="1">
      <alignment wrapText="1"/>
    </xf>
    <xf numFmtId="0" fontId="12" fillId="0" borderId="15" xfId="0" applyFont="1" applyBorder="1" applyAlignment="1">
      <alignment horizontal="center" vertical="center" wrapText="1"/>
    </xf>
    <xf numFmtId="0" fontId="33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ОСТАНОВА НКРЕ №242 (ДОДАТКИ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4;&#1051;&#1071;\&#1058;&#1072;&#1088;&#1080;&#1092;%202010\&#1050;&#1086;&#1088;&#1080;&#1075;&#1091;&#1074;&#1072;&#1085;&#1085;&#1103;\&#1058;&#1040;&#1056;&#1048;&#1060;%202020-2021\&#1051;&#1102;&#1090;&#1080;&#1081;%202021\&#1057;&#1090;&#1088;&#1091;&#1082;&#1090;&#1091;&#1088;&#1072;%20&#1090;&#1072;&#1088;&#1080;&#1092;&#10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0"/>
      <sheetName val="СТР.ВИРОБ."/>
      <sheetName val="виробн."/>
      <sheetName val="СТР.ТРАНСПОРТ."/>
      <sheetName val="транспорт."/>
      <sheetName val="СТР.ПОСТАЧ."/>
      <sheetName val="СТРУКТУРА"/>
      <sheetName val="ДОДАТОК2"/>
      <sheetName val="ДОДАТОК 3"/>
      <sheetName val="ДОДАТОК 4"/>
      <sheetName val="Директору"/>
    </sheetNames>
    <sheetDataSet>
      <sheetData sheetId="2">
        <row r="36">
          <cell r="H36">
            <v>0</v>
          </cell>
          <cell r="J36">
            <v>0</v>
          </cell>
        </row>
        <row r="37">
          <cell r="H37">
            <v>0</v>
          </cell>
          <cell r="J37">
            <v>0</v>
          </cell>
        </row>
      </sheetData>
      <sheetData sheetId="7"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0</v>
          </cell>
        </row>
      </sheetData>
      <sheetData sheetId="8">
        <row r="32">
          <cell r="F32">
            <v>0</v>
          </cell>
          <cell r="G32">
            <v>0</v>
          </cell>
        </row>
        <row r="33">
          <cell r="F33">
            <v>0</v>
          </cell>
          <cell r="G3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view="pageBreakPreview" zoomScale="75" zoomScaleSheetLayoutView="75" zoomScalePageLayoutView="0" workbookViewId="0" topLeftCell="A16">
      <selection activeCell="P37" sqref="P37"/>
    </sheetView>
  </sheetViews>
  <sheetFormatPr defaultColWidth="9.00390625" defaultRowHeight="12.75"/>
  <cols>
    <col min="1" max="1" width="6.25390625" style="0" customWidth="1"/>
    <col min="13" max="13" width="10.75390625" style="0" customWidth="1"/>
  </cols>
  <sheetData>
    <row r="1" spans="1:12" ht="18.75">
      <c r="A1" s="63"/>
      <c r="B1" s="63"/>
      <c r="C1" s="63"/>
      <c r="D1" s="63"/>
      <c r="E1" s="63"/>
      <c r="F1" s="63"/>
      <c r="G1" s="63"/>
      <c r="H1" s="63"/>
      <c r="I1" s="63"/>
      <c r="J1" s="63"/>
      <c r="K1" s="63" t="s">
        <v>87</v>
      </c>
      <c r="L1" s="63"/>
    </row>
    <row r="2" spans="1:12" ht="18.75">
      <c r="A2" s="63"/>
      <c r="B2" s="63"/>
      <c r="C2" s="63"/>
      <c r="D2" s="63"/>
      <c r="E2" s="63"/>
      <c r="F2" s="63"/>
      <c r="G2" s="63"/>
      <c r="H2" s="63"/>
      <c r="I2" s="63"/>
      <c r="J2" s="63"/>
      <c r="K2" s="63" t="s">
        <v>105</v>
      </c>
      <c r="L2" s="63"/>
    </row>
    <row r="3" spans="1:12" ht="18.7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18.75">
      <c r="A4" s="63"/>
      <c r="B4" s="63"/>
      <c r="C4" s="63"/>
      <c r="D4" s="63"/>
      <c r="E4" s="63"/>
      <c r="F4" s="63"/>
      <c r="G4" s="63"/>
      <c r="H4" s="63"/>
      <c r="I4" s="63"/>
      <c r="J4" s="92" t="s">
        <v>106</v>
      </c>
      <c r="K4" s="92"/>
      <c r="L4" s="92"/>
    </row>
    <row r="5" spans="1:13" ht="18.75">
      <c r="A5" s="63"/>
      <c r="B5" s="63"/>
      <c r="C5" s="63"/>
      <c r="D5" s="63"/>
      <c r="E5" s="63"/>
      <c r="F5" s="63"/>
      <c r="G5" s="63"/>
      <c r="H5" s="63"/>
      <c r="I5" s="63"/>
      <c r="J5" s="182" t="s">
        <v>204</v>
      </c>
      <c r="K5" s="183"/>
      <c r="L5" s="183"/>
      <c r="M5" s="183"/>
    </row>
    <row r="6" spans="1:12" ht="18.7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1:12" ht="18.75">
      <c r="A7" s="63"/>
      <c r="B7" s="63"/>
      <c r="C7" s="63"/>
      <c r="D7" s="63"/>
      <c r="E7" s="63"/>
      <c r="F7" s="63"/>
      <c r="G7" s="63"/>
      <c r="H7" s="63"/>
      <c r="I7" s="63"/>
      <c r="J7" s="63" t="s">
        <v>107</v>
      </c>
      <c r="K7" s="63"/>
      <c r="L7" s="63"/>
    </row>
    <row r="8" spans="1:12" ht="18.7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</row>
    <row r="9" spans="1:13" ht="18.75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</row>
    <row r="10" spans="1:12" ht="18.7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</row>
    <row r="11" spans="1:13" ht="18.75">
      <c r="A11" s="179" t="s">
        <v>62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3"/>
    </row>
    <row r="12" spans="1:13" ht="22.5" customHeight="1">
      <c r="A12" s="174" t="s">
        <v>108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3"/>
    </row>
    <row r="13" spans="1:13" ht="18.75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</row>
    <row r="14" spans="1:13" ht="44.25" customHeight="1">
      <c r="A14" s="185" t="s">
        <v>205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</row>
    <row r="15" spans="1:13" ht="18.75">
      <c r="A15" s="63"/>
      <c r="B15" s="63"/>
      <c r="C15" s="63"/>
      <c r="D15" s="63"/>
      <c r="E15" s="63"/>
      <c r="F15" s="186" t="s">
        <v>109</v>
      </c>
      <c r="G15" s="186"/>
      <c r="H15" s="186"/>
      <c r="I15" s="63"/>
      <c r="J15" s="63"/>
      <c r="K15" s="63"/>
      <c r="L15" s="63"/>
      <c r="M15" s="63"/>
    </row>
    <row r="16" spans="1:13" ht="36.75" customHeight="1">
      <c r="A16" s="174" t="s">
        <v>85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3"/>
    </row>
    <row r="17" spans="1:13" ht="23.25" customHeight="1">
      <c r="A17" s="176" t="s">
        <v>110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8"/>
    </row>
    <row r="18" spans="1:13" ht="18.75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</row>
    <row r="19" spans="1:13" ht="10.5" customHeight="1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</row>
    <row r="20" spans="1:13" ht="140.25" customHeight="1">
      <c r="A20" s="174" t="s">
        <v>104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3"/>
    </row>
    <row r="21" spans="1:13" ht="31.5" customHeight="1">
      <c r="A21" s="176" t="s">
        <v>111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8"/>
    </row>
    <row r="22" spans="1:13" ht="18.7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</row>
    <row r="23" spans="1:13" ht="60" customHeight="1">
      <c r="A23" s="185" t="s">
        <v>200</v>
      </c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</row>
    <row r="24" spans="1:13" ht="18.75">
      <c r="A24" s="186" t="s">
        <v>109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8"/>
    </row>
    <row r="25" spans="1:13" ht="18.75">
      <c r="A25" s="64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68"/>
    </row>
    <row r="26" spans="1:13" ht="18.75">
      <c r="A26" s="180" t="s">
        <v>201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</row>
    <row r="27" spans="1:13" ht="18.75">
      <c r="A27" s="179" t="s">
        <v>112</v>
      </c>
      <c r="B27" s="179"/>
      <c r="C27" s="179"/>
      <c r="D27" s="179"/>
      <c r="E27" s="181"/>
      <c r="F27" s="179"/>
      <c r="G27" s="179"/>
      <c r="H27" s="179"/>
      <c r="I27" s="179"/>
      <c r="J27" s="179"/>
      <c r="K27" s="179"/>
      <c r="L27" s="179"/>
      <c r="M27" s="179"/>
    </row>
    <row r="28" spans="1:13" ht="42" customHeight="1">
      <c r="A28" s="174" t="s">
        <v>63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3"/>
    </row>
    <row r="29" spans="1:13" ht="64.5" customHeight="1">
      <c r="A29" s="174" t="s">
        <v>113</v>
      </c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3"/>
    </row>
    <row r="30" spans="1:13" ht="18.75">
      <c r="A30" s="63"/>
      <c r="B30" s="179"/>
      <c r="C30" s="179"/>
      <c r="D30" s="179"/>
      <c r="E30" s="179"/>
      <c r="F30" s="179"/>
      <c r="G30" s="179"/>
      <c r="H30" s="179"/>
      <c r="I30" s="63"/>
      <c r="J30" s="63"/>
      <c r="K30" s="63"/>
      <c r="L30" s="63"/>
      <c r="M30" s="63"/>
    </row>
    <row r="31" spans="1:13" ht="18.75">
      <c r="A31" s="63"/>
      <c r="B31" s="64"/>
      <c r="C31" s="64"/>
      <c r="D31" s="64"/>
      <c r="E31" s="64"/>
      <c r="F31" s="64"/>
      <c r="G31" s="64"/>
      <c r="H31" s="64"/>
      <c r="I31" s="63"/>
      <c r="J31" s="63"/>
      <c r="K31" s="63"/>
      <c r="L31" s="63"/>
      <c r="M31" s="63"/>
    </row>
    <row r="32" spans="1:13" ht="18.75" customHeight="1">
      <c r="A32" s="63"/>
      <c r="B32" s="180" t="s">
        <v>84</v>
      </c>
      <c r="C32" s="180"/>
      <c r="D32" s="64"/>
      <c r="E32" s="64"/>
      <c r="F32" s="64"/>
      <c r="G32" s="64" t="s">
        <v>114</v>
      </c>
      <c r="H32" s="64"/>
      <c r="I32" s="63"/>
      <c r="J32" s="180" t="s">
        <v>94</v>
      </c>
      <c r="K32" s="184"/>
      <c r="L32" s="184"/>
      <c r="M32" s="63"/>
    </row>
    <row r="33" spans="1:13" ht="18.75">
      <c r="A33" s="63" t="s">
        <v>117</v>
      </c>
      <c r="B33" s="64" t="s">
        <v>220</v>
      </c>
      <c r="C33" s="64"/>
      <c r="D33" s="64"/>
      <c r="E33" s="64"/>
      <c r="F33" s="64"/>
      <c r="G33" s="64" t="s">
        <v>115</v>
      </c>
      <c r="H33" s="64"/>
      <c r="I33" s="63"/>
      <c r="J33" s="63" t="s">
        <v>116</v>
      </c>
      <c r="K33" s="63"/>
      <c r="L33" s="63"/>
      <c r="M33" s="63"/>
    </row>
    <row r="34" spans="1:13" ht="18.7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</row>
    <row r="35" spans="1:13" ht="24.75" customHeight="1">
      <c r="A35" s="23"/>
      <c r="B35" s="91" t="s">
        <v>216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63"/>
    </row>
    <row r="36" spans="1:13" ht="23.25" customHeight="1">
      <c r="A36" s="63"/>
      <c r="B36" s="63"/>
      <c r="C36" s="63"/>
      <c r="D36" s="63"/>
      <c r="E36" s="63"/>
      <c r="F36" s="63"/>
      <c r="G36" s="63"/>
      <c r="H36" s="63"/>
      <c r="I36" s="63"/>
      <c r="J36" s="22"/>
      <c r="K36" s="63"/>
      <c r="L36" s="63"/>
      <c r="M36" s="63"/>
    </row>
    <row r="37" spans="1:13" ht="27" customHeight="1">
      <c r="A37" s="172" t="s">
        <v>118</v>
      </c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</row>
    <row r="38" spans="1:13" ht="15.75">
      <c r="A38" s="62"/>
      <c r="B38" s="66"/>
      <c r="C38" s="66"/>
      <c r="D38" s="66"/>
      <c r="E38" s="66"/>
      <c r="F38" s="66"/>
      <c r="G38" s="66"/>
      <c r="H38" s="66"/>
      <c r="I38" s="66"/>
      <c r="J38" s="62"/>
      <c r="K38" s="62"/>
      <c r="L38" s="62"/>
      <c r="M38" s="65"/>
    </row>
    <row r="39" spans="1:12" ht="15">
      <c r="A39" s="13"/>
      <c r="B39" s="12"/>
      <c r="C39" s="12"/>
      <c r="D39" s="12"/>
      <c r="E39" s="12"/>
      <c r="F39" s="12"/>
      <c r="G39" s="12"/>
      <c r="H39" s="12"/>
      <c r="I39" s="12"/>
      <c r="J39" s="13"/>
      <c r="K39" s="13"/>
      <c r="L39" s="13"/>
    </row>
    <row r="40" spans="1:12" ht="1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</row>
    <row r="41" spans="1:12" ht="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</row>
    <row r="42" spans="1:12" ht="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</row>
    <row r="43" spans="1:12" ht="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</row>
    <row r="44" spans="1:12" ht="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1:12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1:12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</sheetData>
  <sheetProtection/>
  <mergeCells count="19">
    <mergeCell ref="J5:M5"/>
    <mergeCell ref="J32:L32"/>
    <mergeCell ref="A14:M14"/>
    <mergeCell ref="F15:H15"/>
    <mergeCell ref="A23:M23"/>
    <mergeCell ref="A24:M24"/>
    <mergeCell ref="A11:M11"/>
    <mergeCell ref="A12:M12"/>
    <mergeCell ref="A16:M16"/>
    <mergeCell ref="A17:M17"/>
    <mergeCell ref="A37:M37"/>
    <mergeCell ref="A20:M20"/>
    <mergeCell ref="A21:M21"/>
    <mergeCell ref="B30:H30"/>
    <mergeCell ref="A28:M28"/>
    <mergeCell ref="A29:M29"/>
    <mergeCell ref="A26:M26"/>
    <mergeCell ref="A27:M27"/>
    <mergeCell ref="B32:C32"/>
  </mergeCells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3"/>
  <sheetViews>
    <sheetView view="pageBreakPreview" zoomScale="60" zoomScaleNormal="56" zoomScalePageLayoutView="0" workbookViewId="0" topLeftCell="A42">
      <selection activeCell="E52" sqref="E52"/>
    </sheetView>
  </sheetViews>
  <sheetFormatPr defaultColWidth="9.00390625" defaultRowHeight="12.75"/>
  <cols>
    <col min="1" max="1" width="11.875" style="1" customWidth="1"/>
    <col min="2" max="2" width="85.75390625" style="1" customWidth="1"/>
    <col min="3" max="3" width="21.00390625" style="1" customWidth="1"/>
    <col min="4" max="4" width="16.875" style="1" customWidth="1"/>
    <col min="5" max="5" width="18.25390625" style="1" customWidth="1"/>
    <col min="6" max="7" width="17.625" style="1" customWidth="1"/>
    <col min="8" max="9" width="17.25390625" style="1" customWidth="1"/>
    <col min="10" max="10" width="17.125" style="1" customWidth="1"/>
    <col min="11" max="11" width="16.375" style="1" customWidth="1"/>
    <col min="12" max="12" width="18.375" style="1" hidden="1" customWidth="1"/>
    <col min="13" max="13" width="19.125" style="1" hidden="1" customWidth="1"/>
    <col min="14" max="14" width="11.125" style="1" customWidth="1"/>
    <col min="15" max="15" width="11.375" style="1" bestFit="1" customWidth="1"/>
    <col min="16" max="16" width="14.75390625" style="1" customWidth="1"/>
    <col min="17" max="16384" width="9.125" style="1" customWidth="1"/>
  </cols>
  <sheetData>
    <row r="1" spans="1:11" ht="48.75" customHeight="1">
      <c r="A1" s="191" t="s">
        <v>206</v>
      </c>
      <c r="B1" s="191"/>
      <c r="C1" s="192"/>
      <c r="D1" s="22"/>
      <c r="E1" s="22"/>
      <c r="F1" s="22"/>
      <c r="G1" s="22"/>
      <c r="H1" s="22"/>
      <c r="I1" s="187" t="s">
        <v>87</v>
      </c>
      <c r="J1" s="188"/>
      <c r="K1" s="188"/>
    </row>
    <row r="2" spans="1:11" ht="30.75" customHeight="1">
      <c r="A2" s="191" t="s">
        <v>86</v>
      </c>
      <c r="B2" s="191"/>
      <c r="C2" s="33"/>
      <c r="D2" s="22"/>
      <c r="E2" s="22"/>
      <c r="F2" s="22"/>
      <c r="G2" s="189" t="s">
        <v>179</v>
      </c>
      <c r="H2" s="190"/>
      <c r="I2" s="190"/>
      <c r="J2" s="190"/>
      <c r="K2" s="190"/>
    </row>
    <row r="3" spans="1:11" ht="44.25" customHeight="1">
      <c r="A3" s="22"/>
      <c r="B3" s="22"/>
      <c r="C3" s="22"/>
      <c r="D3" s="22"/>
      <c r="E3" s="22"/>
      <c r="F3" s="22"/>
      <c r="G3" s="8"/>
      <c r="H3" s="51"/>
      <c r="I3" s="197" t="s">
        <v>219</v>
      </c>
      <c r="J3" s="197"/>
      <c r="K3" s="22"/>
    </row>
    <row r="4" spans="1:11" ht="37.5" customHeight="1">
      <c r="A4" s="201" t="s">
        <v>64</v>
      </c>
      <c r="B4" s="202"/>
      <c r="C4" s="202"/>
      <c r="D4" s="202"/>
      <c r="E4" s="202"/>
      <c r="F4" s="202"/>
      <c r="G4" s="202"/>
      <c r="H4" s="202"/>
      <c r="I4" s="202"/>
      <c r="J4" s="202"/>
      <c r="K4" s="145"/>
    </row>
    <row r="5" spans="1:11" ht="63.75" customHeight="1">
      <c r="A5" s="201" t="s">
        <v>263</v>
      </c>
      <c r="B5" s="202"/>
      <c r="C5" s="202"/>
      <c r="D5" s="202"/>
      <c r="E5" s="202"/>
      <c r="F5" s="202"/>
      <c r="G5" s="202"/>
      <c r="H5" s="202"/>
      <c r="I5" s="202"/>
      <c r="J5" s="202"/>
      <c r="K5" s="192"/>
    </row>
    <row r="6" spans="1:11" ht="18.7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39" customHeight="1">
      <c r="A7" s="22"/>
      <c r="B7" s="22"/>
      <c r="C7" s="22"/>
      <c r="D7" s="22"/>
      <c r="E7" s="22"/>
      <c r="F7" s="22"/>
      <c r="G7" s="22"/>
      <c r="H7" s="203" t="s">
        <v>137</v>
      </c>
      <c r="I7" s="204"/>
      <c r="J7" s="204"/>
      <c r="K7" s="204"/>
    </row>
    <row r="8" spans="1:11" ht="119.25" customHeight="1">
      <c r="A8" s="200" t="s">
        <v>16</v>
      </c>
      <c r="B8" s="200" t="s">
        <v>17</v>
      </c>
      <c r="C8" s="193" t="s">
        <v>120</v>
      </c>
      <c r="D8" s="195" t="s">
        <v>18</v>
      </c>
      <c r="E8" s="196"/>
      <c r="F8" s="195" t="s">
        <v>212</v>
      </c>
      <c r="G8" s="196"/>
      <c r="H8" s="195" t="s">
        <v>213</v>
      </c>
      <c r="I8" s="196"/>
      <c r="J8" s="195" t="s">
        <v>214</v>
      </c>
      <c r="K8" s="196"/>
    </row>
    <row r="9" spans="1:15" ht="209.25" customHeight="1">
      <c r="A9" s="200"/>
      <c r="B9" s="200"/>
      <c r="C9" s="194"/>
      <c r="D9" s="93" t="s">
        <v>119</v>
      </c>
      <c r="E9" s="93" t="s">
        <v>258</v>
      </c>
      <c r="F9" s="93" t="s">
        <v>119</v>
      </c>
      <c r="G9" s="93" t="s">
        <v>258</v>
      </c>
      <c r="H9" s="93" t="s">
        <v>119</v>
      </c>
      <c r="I9" s="93" t="s">
        <v>258</v>
      </c>
      <c r="J9" s="93" t="s">
        <v>119</v>
      </c>
      <c r="K9" s="93" t="s">
        <v>258</v>
      </c>
      <c r="N9" s="12"/>
      <c r="O9" s="12"/>
    </row>
    <row r="10" spans="1:15" ht="33.75" customHeight="1">
      <c r="A10" s="25">
        <v>1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25">
        <v>10</v>
      </c>
      <c r="K10" s="25">
        <v>11</v>
      </c>
      <c r="L10" s="21"/>
      <c r="M10" s="21"/>
      <c r="N10" s="12"/>
      <c r="O10" s="12"/>
    </row>
    <row r="11" spans="1:16" ht="45.75" customHeight="1">
      <c r="A11" s="30">
        <v>1</v>
      </c>
      <c r="B11" s="31" t="s">
        <v>169</v>
      </c>
      <c r="C11" s="25" t="s">
        <v>121</v>
      </c>
      <c r="D11" s="32">
        <f>D13+D19+D20+D24</f>
        <v>104684.96</v>
      </c>
      <c r="E11" s="32">
        <f>E13+E19+E20+E24</f>
        <v>101983.11</v>
      </c>
      <c r="F11" s="32">
        <f aca="true" t="shared" si="0" ref="F11:K11">F13+F19+F20+F24</f>
        <v>28924.350999999995</v>
      </c>
      <c r="G11" s="32">
        <f t="shared" si="0"/>
        <v>28924.350999999995</v>
      </c>
      <c r="H11" s="32">
        <f>H13+H19+H20+H24</f>
        <v>61169.495</v>
      </c>
      <c r="I11" s="32">
        <f>I13+I19+I20+I24</f>
        <v>61169.495</v>
      </c>
      <c r="J11" s="32">
        <f t="shared" si="0"/>
        <v>14591.107</v>
      </c>
      <c r="K11" s="32">
        <f t="shared" si="0"/>
        <v>11889.255</v>
      </c>
      <c r="L11" s="118">
        <f>D11+ДОДАТОК2!D13+'ДОДАТОК 3'!D13</f>
        <v>110859.63</v>
      </c>
      <c r="M11" s="118">
        <f>E11+ДОДАТОК2!H13+'ДОДАТОК 3'!H13</f>
        <v>108157.78</v>
      </c>
      <c r="N11" s="18"/>
      <c r="O11" s="18"/>
      <c r="P11" s="16"/>
    </row>
    <row r="12" spans="1:16" ht="1.5" customHeight="1">
      <c r="A12" s="28"/>
      <c r="B12" s="26" t="s">
        <v>92</v>
      </c>
      <c r="C12" s="26"/>
      <c r="D12" s="27">
        <f>ROUND(D13+D19+D20,2)</f>
        <v>102287.98</v>
      </c>
      <c r="E12" s="27">
        <f>ROUND(E13+E19+E20,2)</f>
        <v>99586.13</v>
      </c>
      <c r="F12" s="27">
        <f aca="true" t="shared" si="1" ref="F12:K12">F13+F19+F20</f>
        <v>27875.799999999996</v>
      </c>
      <c r="G12" s="27">
        <f t="shared" si="1"/>
        <v>27875.799999999996</v>
      </c>
      <c r="H12" s="27">
        <f t="shared" si="1"/>
        <v>59964.05</v>
      </c>
      <c r="I12" s="27">
        <f t="shared" si="1"/>
        <v>59964.05</v>
      </c>
      <c r="J12" s="27">
        <f t="shared" si="1"/>
        <v>14448.124</v>
      </c>
      <c r="K12" s="27">
        <f t="shared" si="1"/>
        <v>11746.271999999999</v>
      </c>
      <c r="L12" s="90">
        <f>D12+ДОДАТОК2!D14+'ДОДАТОК 3'!D14</f>
        <v>108273.95</v>
      </c>
      <c r="M12" s="90">
        <f>E12+ДОДАТОК2!H14+'ДОДАТОК 3'!H14</f>
        <v>105572.1</v>
      </c>
      <c r="N12" s="18"/>
      <c r="O12" s="18"/>
      <c r="P12" s="16"/>
    </row>
    <row r="13" spans="1:15" ht="33.75" customHeight="1">
      <c r="A13" s="28" t="s">
        <v>2</v>
      </c>
      <c r="B13" s="26" t="s">
        <v>170</v>
      </c>
      <c r="C13" s="25" t="s">
        <v>121</v>
      </c>
      <c r="D13" s="27">
        <f aca="true" t="shared" si="2" ref="D13:K13">SUM(D14:D18)</f>
        <v>94069.18000000001</v>
      </c>
      <c r="E13" s="27">
        <f>SUM(E14:E18)</f>
        <v>91367.33</v>
      </c>
      <c r="F13" s="27">
        <f t="shared" si="2"/>
        <v>24280.51</v>
      </c>
      <c r="G13" s="27">
        <f t="shared" si="2"/>
        <v>24280.51</v>
      </c>
      <c r="H13" s="27">
        <f t="shared" si="2"/>
        <v>55830.8</v>
      </c>
      <c r="I13" s="27">
        <f t="shared" si="2"/>
        <v>55830.8</v>
      </c>
      <c r="J13" s="27">
        <f t="shared" si="2"/>
        <v>13957.860999999999</v>
      </c>
      <c r="K13" s="27">
        <f t="shared" si="2"/>
        <v>11256.008999999998</v>
      </c>
      <c r="L13" s="115">
        <f aca="true" t="shared" si="3" ref="L13:L27">F13+H13+J13</f>
        <v>94069.171</v>
      </c>
      <c r="M13" s="115">
        <f aca="true" t="shared" si="4" ref="M13:M27">G13+I13+K13</f>
        <v>91367.31899999999</v>
      </c>
      <c r="N13" s="12"/>
      <c r="O13" s="12"/>
    </row>
    <row r="14" spans="1:15" ht="35.25" customHeight="1">
      <c r="A14" s="28" t="s">
        <v>23</v>
      </c>
      <c r="B14" s="26" t="s">
        <v>122</v>
      </c>
      <c r="C14" s="25" t="s">
        <v>121</v>
      </c>
      <c r="D14" s="27">
        <f>F14+H14+J14</f>
        <v>92517.63</v>
      </c>
      <c r="E14" s="67">
        <f>G14+I14+K14</f>
        <v>89815.78</v>
      </c>
      <c r="F14" s="27">
        <v>23601.79</v>
      </c>
      <c r="G14" s="27">
        <v>23601.79</v>
      </c>
      <c r="H14" s="27">
        <v>55050.53</v>
      </c>
      <c r="I14" s="27">
        <v>55050.53</v>
      </c>
      <c r="J14" s="27">
        <v>13865.31</v>
      </c>
      <c r="K14" s="27">
        <v>11163.46</v>
      </c>
      <c r="L14" s="115">
        <f t="shared" si="3"/>
        <v>92517.63</v>
      </c>
      <c r="M14" s="115">
        <f t="shared" si="4"/>
        <v>89815.78</v>
      </c>
      <c r="N14" s="12"/>
      <c r="O14" s="12"/>
    </row>
    <row r="15" spans="1:15" ht="33" customHeight="1">
      <c r="A15" s="28" t="s">
        <v>24</v>
      </c>
      <c r="B15" s="26" t="s">
        <v>123</v>
      </c>
      <c r="C15" s="25" t="s">
        <v>121</v>
      </c>
      <c r="D15" s="27">
        <v>942.85</v>
      </c>
      <c r="E15" s="27">
        <v>942.85</v>
      </c>
      <c r="F15" s="27">
        <f>ROUND(D15/D53*F53,2)</f>
        <v>412.45</v>
      </c>
      <c r="G15" s="27">
        <f>ROUND(E15/E53*G53,2)</f>
        <v>412.45</v>
      </c>
      <c r="H15" s="27">
        <f>ROUND(D15/D53*H53,2)</f>
        <v>474.16</v>
      </c>
      <c r="I15" s="27">
        <f>ROUND(E15/E53*I53,2)</f>
        <v>474.16</v>
      </c>
      <c r="J15" s="27">
        <f>ROUND(D15/D53*J53,3)</f>
        <v>56.242</v>
      </c>
      <c r="K15" s="27">
        <f>ROUND(G15/G53*K53,2)</f>
        <v>56.24</v>
      </c>
      <c r="L15" s="115">
        <f t="shared" si="3"/>
        <v>942.852</v>
      </c>
      <c r="M15" s="115">
        <f t="shared" si="4"/>
        <v>942.85</v>
      </c>
      <c r="N15" s="12"/>
      <c r="O15" s="12"/>
    </row>
    <row r="16" spans="1:15" ht="36" customHeight="1">
      <c r="A16" s="28" t="s">
        <v>25</v>
      </c>
      <c r="B16" s="26" t="s">
        <v>124</v>
      </c>
      <c r="C16" s="25" t="s">
        <v>121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115">
        <f t="shared" si="3"/>
        <v>0</v>
      </c>
      <c r="M16" s="115">
        <f t="shared" si="4"/>
        <v>0</v>
      </c>
      <c r="N16" s="12"/>
      <c r="O16" s="12"/>
    </row>
    <row r="17" spans="1:15" ht="30.75" customHeight="1">
      <c r="A17" s="28" t="s">
        <v>26</v>
      </c>
      <c r="B17" s="26" t="s">
        <v>125</v>
      </c>
      <c r="C17" s="25" t="s">
        <v>121</v>
      </c>
      <c r="D17" s="27">
        <v>56.4</v>
      </c>
      <c r="E17" s="27">
        <v>56.4</v>
      </c>
      <c r="F17" s="27">
        <f>ROUND(D17/D53*F53,2)</f>
        <v>24.67</v>
      </c>
      <c r="G17" s="27">
        <f>ROUND(E17/E53*G53,2)</f>
        <v>24.67</v>
      </c>
      <c r="H17" s="27">
        <f>ROUND(D17/D53*H53,2)</f>
        <v>28.36</v>
      </c>
      <c r="I17" s="27">
        <f>ROUND(E17/E53*I53,2)</f>
        <v>28.36</v>
      </c>
      <c r="J17" s="27">
        <f>ROUND(D17/D53*J53,3)</f>
        <v>3.364</v>
      </c>
      <c r="K17" s="27">
        <f>ROUND(E17/E53*K53,3)</f>
        <v>3.364</v>
      </c>
      <c r="L17" s="115">
        <f t="shared" si="3"/>
        <v>56.394</v>
      </c>
      <c r="M17" s="115">
        <f t="shared" si="4"/>
        <v>56.394</v>
      </c>
      <c r="N17" s="12"/>
      <c r="O17" s="12"/>
    </row>
    <row r="18" spans="1:15" ht="32.25" customHeight="1">
      <c r="A18" s="28" t="s">
        <v>27</v>
      </c>
      <c r="B18" s="26" t="s">
        <v>126</v>
      </c>
      <c r="C18" s="25" t="s">
        <v>121</v>
      </c>
      <c r="D18" s="27">
        <v>552.3</v>
      </c>
      <c r="E18" s="27">
        <v>552.3</v>
      </c>
      <c r="F18" s="27">
        <f>ROUND(D18/D53*F53,2)</f>
        <v>241.6</v>
      </c>
      <c r="G18" s="27">
        <f>ROUND(E18/E53*G53,2)</f>
        <v>241.6</v>
      </c>
      <c r="H18" s="27">
        <f>ROUND(D18/D53*H53,2)</f>
        <v>277.75</v>
      </c>
      <c r="I18" s="27">
        <f>ROUND(E18/E53*I53,2)</f>
        <v>277.75</v>
      </c>
      <c r="J18" s="27">
        <f>ROUND(D18/D53*J53,3)</f>
        <v>32.945</v>
      </c>
      <c r="K18" s="27">
        <f>ROUND(E18/E53*K53,3)</f>
        <v>32.945</v>
      </c>
      <c r="L18" s="115">
        <f t="shared" si="3"/>
        <v>552.2950000000001</v>
      </c>
      <c r="M18" s="115">
        <f t="shared" si="4"/>
        <v>552.2950000000001</v>
      </c>
      <c r="N18" s="12"/>
      <c r="O18" s="12"/>
    </row>
    <row r="19" spans="1:16" ht="31.5" customHeight="1">
      <c r="A19" s="28" t="s">
        <v>3</v>
      </c>
      <c r="B19" s="26" t="s">
        <v>19</v>
      </c>
      <c r="C19" s="25" t="s">
        <v>121</v>
      </c>
      <c r="D19" s="27">
        <v>6017.73</v>
      </c>
      <c r="E19" s="27">
        <v>6017.73</v>
      </c>
      <c r="F19" s="27">
        <f>ROUND(D19/D53*F53,2)</f>
        <v>2632.44</v>
      </c>
      <c r="G19" s="27">
        <f>ROUND(E19/E53*G53,2)</f>
        <v>2632.44</v>
      </c>
      <c r="H19" s="27">
        <f>ROUND(D19/D53*H53,2)</f>
        <v>3026.33</v>
      </c>
      <c r="I19" s="27">
        <f>ROUND(E19/E53*I53,2)</f>
        <v>3026.33</v>
      </c>
      <c r="J19" s="27">
        <f>ROUND(D19/D53*J53,3)</f>
        <v>358.966</v>
      </c>
      <c r="K19" s="27">
        <f>ROUND(E19/E53*K53,3)</f>
        <v>358.966</v>
      </c>
      <c r="L19" s="115">
        <f t="shared" si="3"/>
        <v>6017.736000000001</v>
      </c>
      <c r="M19" s="115">
        <f t="shared" si="4"/>
        <v>6017.736000000001</v>
      </c>
      <c r="N19" s="20"/>
      <c r="O19" s="11"/>
      <c r="P19" s="17"/>
    </row>
    <row r="20" spans="1:16" ht="41.25" customHeight="1">
      <c r="A20" s="28" t="s">
        <v>28</v>
      </c>
      <c r="B20" s="26" t="s">
        <v>171</v>
      </c>
      <c r="C20" s="25" t="s">
        <v>121</v>
      </c>
      <c r="D20" s="27">
        <f aca="true" t="shared" si="5" ref="D20:K20">D21+D22+D23</f>
        <v>2201.07</v>
      </c>
      <c r="E20" s="27">
        <f t="shared" si="5"/>
        <v>2201.07</v>
      </c>
      <c r="F20" s="27">
        <f t="shared" si="5"/>
        <v>962.8499999999999</v>
      </c>
      <c r="G20" s="27">
        <f t="shared" si="5"/>
        <v>962.8499999999999</v>
      </c>
      <c r="H20" s="27">
        <f t="shared" si="5"/>
        <v>1106.92</v>
      </c>
      <c r="I20" s="27">
        <f t="shared" si="5"/>
        <v>1106.92</v>
      </c>
      <c r="J20" s="27">
        <f t="shared" si="5"/>
        <v>131.297</v>
      </c>
      <c r="K20" s="27">
        <f t="shared" si="5"/>
        <v>131.297</v>
      </c>
      <c r="L20" s="115">
        <f t="shared" si="3"/>
        <v>2201.067</v>
      </c>
      <c r="M20" s="115">
        <f t="shared" si="4"/>
        <v>2201.067</v>
      </c>
      <c r="N20" s="18"/>
      <c r="O20" s="18"/>
      <c r="P20" s="16"/>
    </row>
    <row r="21" spans="1:16" ht="33.75" customHeight="1">
      <c r="A21" s="28" t="s">
        <v>29</v>
      </c>
      <c r="B21" s="26" t="s">
        <v>172</v>
      </c>
      <c r="C21" s="25" t="s">
        <v>121</v>
      </c>
      <c r="D21" s="27">
        <v>1298.24</v>
      </c>
      <c r="E21" s="27">
        <v>1298.24</v>
      </c>
      <c r="F21" s="27">
        <f>ROUND(D21/D53*F53,2)</f>
        <v>567.91</v>
      </c>
      <c r="G21" s="27">
        <f>ROUND(E21/E53*G53,2)</f>
        <v>567.91</v>
      </c>
      <c r="H21" s="27">
        <f>ROUND(D21/D53*H53,2)</f>
        <v>652.89</v>
      </c>
      <c r="I21" s="27">
        <f>ROUND(E21/E53*I53,2)</f>
        <v>652.89</v>
      </c>
      <c r="J21" s="27">
        <f>ROUND(D21/D53*J53,3)</f>
        <v>77.442</v>
      </c>
      <c r="K21" s="27">
        <f>ROUND(E21/E53*K53,3)</f>
        <v>77.442</v>
      </c>
      <c r="L21" s="115">
        <f t="shared" si="3"/>
        <v>1298.242</v>
      </c>
      <c r="M21" s="115">
        <f t="shared" si="4"/>
        <v>1298.242</v>
      </c>
      <c r="N21" s="18"/>
      <c r="O21" s="11"/>
      <c r="P21" s="11"/>
    </row>
    <row r="22" spans="1:16" ht="34.5" customHeight="1">
      <c r="A22" s="28" t="s">
        <v>30</v>
      </c>
      <c r="B22" s="26" t="s">
        <v>101</v>
      </c>
      <c r="C22" s="25" t="s">
        <v>121</v>
      </c>
      <c r="D22" s="27">
        <v>616.98</v>
      </c>
      <c r="E22" s="27">
        <v>616.98</v>
      </c>
      <c r="F22" s="27">
        <f>ROUND(D22/D53*F53,2)</f>
        <v>269.9</v>
      </c>
      <c r="G22" s="27">
        <f>ROUND(E22/E53*G53,2)</f>
        <v>269.9</v>
      </c>
      <c r="H22" s="27">
        <f>ROUND(D22/D53*H53,2)</f>
        <v>310.28</v>
      </c>
      <c r="I22" s="27">
        <f>ROUND(E22/E53*I53,2)</f>
        <v>310.28</v>
      </c>
      <c r="J22" s="27">
        <f>ROUND(D22/D53*J53,3)</f>
        <v>36.804</v>
      </c>
      <c r="K22" s="27">
        <f>ROUND(E22/E53*K53,3)</f>
        <v>36.804</v>
      </c>
      <c r="L22" s="115">
        <f t="shared" si="3"/>
        <v>616.9839999999999</v>
      </c>
      <c r="M22" s="115">
        <f t="shared" si="4"/>
        <v>616.9839999999999</v>
      </c>
      <c r="N22" s="11"/>
      <c r="O22" s="11"/>
      <c r="P22" s="11"/>
    </row>
    <row r="23" spans="1:13" ht="34.5" customHeight="1">
      <c r="A23" s="28" t="s">
        <v>31</v>
      </c>
      <c r="B23" s="26" t="s">
        <v>20</v>
      </c>
      <c r="C23" s="25" t="s">
        <v>121</v>
      </c>
      <c r="D23" s="27">
        <v>285.85</v>
      </c>
      <c r="E23" s="27">
        <v>285.85</v>
      </c>
      <c r="F23" s="27">
        <f>ROUND(D23/D53*F53,2)</f>
        <v>125.04</v>
      </c>
      <c r="G23" s="27">
        <f>ROUND(E23/E53*G53,2)</f>
        <v>125.04</v>
      </c>
      <c r="H23" s="27">
        <f>ROUND(D23/D53*H53,2)</f>
        <v>143.75</v>
      </c>
      <c r="I23" s="27">
        <f>ROUND(E23/E53*I53,2)</f>
        <v>143.75</v>
      </c>
      <c r="J23" s="27">
        <f>ROUND(D23/D53*J53,3)</f>
        <v>17.051</v>
      </c>
      <c r="K23" s="27">
        <f>ROUND(E23/E53*K53,3)</f>
        <v>17.051</v>
      </c>
      <c r="L23" s="115">
        <f t="shared" si="3"/>
        <v>285.841</v>
      </c>
      <c r="M23" s="115">
        <f t="shared" si="4"/>
        <v>285.841</v>
      </c>
    </row>
    <row r="24" spans="1:15" ht="29.25" customHeight="1">
      <c r="A24" s="28" t="s">
        <v>32</v>
      </c>
      <c r="B24" s="26" t="s">
        <v>173</v>
      </c>
      <c r="C24" s="25" t="s">
        <v>121</v>
      </c>
      <c r="D24" s="27">
        <f aca="true" t="shared" si="6" ref="D24:K24">SUM(D25:D27)</f>
        <v>2396.98</v>
      </c>
      <c r="E24" s="27">
        <f t="shared" si="6"/>
        <v>2396.98</v>
      </c>
      <c r="F24" s="27">
        <f t="shared" si="6"/>
        <v>1048.551</v>
      </c>
      <c r="G24" s="27">
        <f t="shared" si="6"/>
        <v>1048.551</v>
      </c>
      <c r="H24" s="27">
        <f t="shared" si="6"/>
        <v>1205.4450000000002</v>
      </c>
      <c r="I24" s="27">
        <f t="shared" si="6"/>
        <v>1205.4450000000002</v>
      </c>
      <c r="J24" s="27">
        <f t="shared" si="6"/>
        <v>142.983</v>
      </c>
      <c r="K24" s="27">
        <f t="shared" si="6"/>
        <v>142.983</v>
      </c>
      <c r="L24" s="115">
        <f t="shared" si="3"/>
        <v>2396.9790000000003</v>
      </c>
      <c r="M24" s="115">
        <f t="shared" si="4"/>
        <v>2396.9790000000003</v>
      </c>
      <c r="N24" s="17"/>
      <c r="O24" s="16"/>
    </row>
    <row r="25" spans="1:15" ht="27.75" customHeight="1">
      <c r="A25" s="28" t="s">
        <v>33</v>
      </c>
      <c r="B25" s="26" t="s">
        <v>21</v>
      </c>
      <c r="C25" s="25" t="s">
        <v>121</v>
      </c>
      <c r="D25" s="27">
        <v>1277.34</v>
      </c>
      <c r="E25" s="27">
        <v>1277.34</v>
      </c>
      <c r="F25" s="27">
        <f>ROUND(D25/D53*F53,3)</f>
        <v>558.768</v>
      </c>
      <c r="G25" s="27">
        <f>ROUND(E25/E53*G53,3)</f>
        <v>558.768</v>
      </c>
      <c r="H25" s="27">
        <f>ROUND(D25/D53*H53,3)</f>
        <v>642.376</v>
      </c>
      <c r="I25" s="27">
        <f>ROUND(E25/E53*I53,3)</f>
        <v>642.376</v>
      </c>
      <c r="J25" s="27">
        <f>ROUND(D25/D53*J53,3)</f>
        <v>76.195</v>
      </c>
      <c r="K25" s="27">
        <f>ROUND(E25/E53*K53,3)</f>
        <v>76.195</v>
      </c>
      <c r="L25" s="115">
        <f t="shared" si="3"/>
        <v>1277.339</v>
      </c>
      <c r="M25" s="115">
        <f t="shared" si="4"/>
        <v>1277.339</v>
      </c>
      <c r="N25" s="11"/>
      <c r="O25" s="16"/>
    </row>
    <row r="26" spans="1:15" ht="29.25" customHeight="1">
      <c r="A26" s="28" t="s">
        <v>34</v>
      </c>
      <c r="B26" s="26" t="s">
        <v>172</v>
      </c>
      <c r="C26" s="25" t="s">
        <v>121</v>
      </c>
      <c r="D26" s="27">
        <v>262.32</v>
      </c>
      <c r="E26" s="27">
        <v>262.32</v>
      </c>
      <c r="F26" s="27">
        <f>ROUND(D26/D53*F53,3)</f>
        <v>114.751</v>
      </c>
      <c r="G26" s="27">
        <f>ROUND(E26/E53*G53,3)</f>
        <v>114.751</v>
      </c>
      <c r="H26" s="27">
        <f>ROUND(D26/D53*H53,3)</f>
        <v>131.921</v>
      </c>
      <c r="I26" s="27">
        <f>ROUND(E26/E53*I53,3)</f>
        <v>131.921</v>
      </c>
      <c r="J26" s="27">
        <f>ROUND(D26/D53*J53,3)</f>
        <v>15.648</v>
      </c>
      <c r="K26" s="27">
        <f>ROUND(E26/E53*K53,3)</f>
        <v>15.648</v>
      </c>
      <c r="L26" s="115">
        <f t="shared" si="3"/>
        <v>262.32</v>
      </c>
      <c r="M26" s="115">
        <f t="shared" si="4"/>
        <v>262.32</v>
      </c>
      <c r="N26" s="11"/>
      <c r="O26" s="16"/>
    </row>
    <row r="27" spans="1:15" ht="30.75" customHeight="1">
      <c r="A27" s="28" t="s">
        <v>35</v>
      </c>
      <c r="B27" s="26" t="s">
        <v>22</v>
      </c>
      <c r="C27" s="25" t="s">
        <v>121</v>
      </c>
      <c r="D27" s="27">
        <v>857.32</v>
      </c>
      <c r="E27" s="27">
        <v>857.32</v>
      </c>
      <c r="F27" s="27">
        <f>ROUND(D27/D53*F53,3)</f>
        <v>375.032</v>
      </c>
      <c r="G27" s="27">
        <f>ROUND(E27/E53*G53,3)</f>
        <v>375.032</v>
      </c>
      <c r="H27" s="27">
        <f>ROUND(D27/D53*H53,3)</f>
        <v>431.148</v>
      </c>
      <c r="I27" s="27">
        <f>ROUND(E27/E53*I53,3)</f>
        <v>431.148</v>
      </c>
      <c r="J27" s="27">
        <f>ROUND(D27/D53*J53,3)</f>
        <v>51.14</v>
      </c>
      <c r="K27" s="27">
        <f>ROUND(E27/E53*K53,3)</f>
        <v>51.14</v>
      </c>
      <c r="L27" s="115">
        <f t="shared" si="3"/>
        <v>857.32</v>
      </c>
      <c r="M27" s="115">
        <f t="shared" si="4"/>
        <v>857.32</v>
      </c>
      <c r="N27" s="19"/>
      <c r="O27" s="19"/>
    </row>
    <row r="28" spans="1:15" ht="29.25" customHeight="1">
      <c r="A28" s="30" t="s">
        <v>4</v>
      </c>
      <c r="B28" s="31" t="s">
        <v>174</v>
      </c>
      <c r="C28" s="25" t="s">
        <v>121</v>
      </c>
      <c r="D28" s="32">
        <f aca="true" t="shared" si="7" ref="D28:K28">SUM(D29:D31)</f>
        <v>2965.8599999999997</v>
      </c>
      <c r="E28" s="32">
        <f t="shared" si="7"/>
        <v>2965.8599999999997</v>
      </c>
      <c r="F28" s="32">
        <f t="shared" si="7"/>
        <v>1297.4</v>
      </c>
      <c r="G28" s="32">
        <f t="shared" si="7"/>
        <v>1297.4</v>
      </c>
      <c r="H28" s="32">
        <f t="shared" si="7"/>
        <v>1491.536</v>
      </c>
      <c r="I28" s="32">
        <f t="shared" si="7"/>
        <v>1491.536</v>
      </c>
      <c r="J28" s="32">
        <f t="shared" si="7"/>
        <v>176.917</v>
      </c>
      <c r="K28" s="32">
        <f t="shared" si="7"/>
        <v>176.917</v>
      </c>
      <c r="L28" s="115">
        <f aca="true" t="shared" si="8" ref="L28:M31">F28+H28+J28</f>
        <v>2965.853</v>
      </c>
      <c r="M28" s="115">
        <f t="shared" si="8"/>
        <v>2965.853</v>
      </c>
      <c r="N28" s="17"/>
      <c r="O28" s="16"/>
    </row>
    <row r="29" spans="1:15" ht="27.75" customHeight="1">
      <c r="A29" s="28" t="s">
        <v>5</v>
      </c>
      <c r="B29" s="26" t="s">
        <v>21</v>
      </c>
      <c r="C29" s="25" t="s">
        <v>121</v>
      </c>
      <c r="D29" s="27">
        <v>2195.52</v>
      </c>
      <c r="E29" s="27">
        <v>2195.52</v>
      </c>
      <c r="F29" s="27">
        <f>ROUND(D29/D53*F53,2)</f>
        <v>960.42</v>
      </c>
      <c r="G29" s="27">
        <f>ROUND(E29/E53*G53,2)</f>
        <v>960.42</v>
      </c>
      <c r="H29" s="27">
        <f>ROUND(D29/D53*H53,3)</f>
        <v>1104.131</v>
      </c>
      <c r="I29" s="27">
        <f>ROUND(E29/E53*I53,3)</f>
        <v>1104.131</v>
      </c>
      <c r="J29" s="27">
        <f>ROUND(D29/D53*J53,3)</f>
        <v>130.966</v>
      </c>
      <c r="K29" s="27">
        <f>ROUND(E29/E53*K53,3)</f>
        <v>130.966</v>
      </c>
      <c r="L29" s="115">
        <f t="shared" si="8"/>
        <v>2195.517</v>
      </c>
      <c r="M29" s="115">
        <f t="shared" si="8"/>
        <v>2195.517</v>
      </c>
      <c r="N29" s="11"/>
      <c r="O29" s="16"/>
    </row>
    <row r="30" spans="1:15" ht="32.25" customHeight="1">
      <c r="A30" s="28" t="s">
        <v>6</v>
      </c>
      <c r="B30" s="26" t="s">
        <v>172</v>
      </c>
      <c r="C30" s="25" t="s">
        <v>121</v>
      </c>
      <c r="D30" s="27">
        <v>452.1</v>
      </c>
      <c r="E30" s="27">
        <v>452.1</v>
      </c>
      <c r="F30" s="27">
        <f>ROUND(D30/D53*F53,2)</f>
        <v>197.77</v>
      </c>
      <c r="G30" s="27">
        <f>ROUND(E30/E53*G53,2)</f>
        <v>197.77</v>
      </c>
      <c r="H30" s="27">
        <f>ROUND(D30/D53*H53,3)</f>
        <v>227.362</v>
      </c>
      <c r="I30" s="27">
        <f>ROUND(E30/E53*I53,3)</f>
        <v>227.362</v>
      </c>
      <c r="J30" s="27">
        <f>ROUND(D30/D53*J53,3)</f>
        <v>26.968</v>
      </c>
      <c r="K30" s="27">
        <f>ROUND(E30/E53*K53,3)</f>
        <v>26.968</v>
      </c>
      <c r="L30" s="115">
        <f t="shared" si="8"/>
        <v>452.1</v>
      </c>
      <c r="M30" s="115">
        <f t="shared" si="8"/>
        <v>452.1</v>
      </c>
      <c r="N30" s="11"/>
      <c r="O30" s="16"/>
    </row>
    <row r="31" spans="1:15" ht="29.25" customHeight="1">
      <c r="A31" s="28" t="s">
        <v>36</v>
      </c>
      <c r="B31" s="26" t="s">
        <v>22</v>
      </c>
      <c r="C31" s="25" t="s">
        <v>121</v>
      </c>
      <c r="D31" s="27">
        <v>318.24</v>
      </c>
      <c r="E31" s="27">
        <v>318.24</v>
      </c>
      <c r="F31" s="27">
        <f>ROUND(D31/D53*F53,2)</f>
        <v>139.21</v>
      </c>
      <c r="G31" s="27">
        <f>ROUND(E31/E53*G53,2)</f>
        <v>139.21</v>
      </c>
      <c r="H31" s="27">
        <f>ROUND(D31/D53*H53,3)</f>
        <v>160.043</v>
      </c>
      <c r="I31" s="27">
        <f>ROUND(E31/E53*I53,3)</f>
        <v>160.043</v>
      </c>
      <c r="J31" s="27">
        <f>ROUND(D31/D53*J53,3)</f>
        <v>18.983</v>
      </c>
      <c r="K31" s="27">
        <f>ROUND(E31/E53*K53,3)</f>
        <v>18.983</v>
      </c>
      <c r="L31" s="111">
        <f t="shared" si="8"/>
        <v>318.23600000000005</v>
      </c>
      <c r="M31" s="111">
        <f t="shared" si="8"/>
        <v>318.23600000000005</v>
      </c>
      <c r="N31" s="11"/>
      <c r="O31" s="16"/>
    </row>
    <row r="32" spans="1:15" ht="27.75" customHeight="1">
      <c r="A32" s="30" t="s">
        <v>7</v>
      </c>
      <c r="B32" s="31" t="s">
        <v>175</v>
      </c>
      <c r="C32" s="25" t="s">
        <v>121</v>
      </c>
      <c r="D32" s="27">
        <f aca="true" t="shared" si="9" ref="D32:J32">D33+D34+D35</f>
        <v>0</v>
      </c>
      <c r="E32" s="27">
        <f>E33+E34+E35</f>
        <v>0</v>
      </c>
      <c r="F32" s="27">
        <f t="shared" si="9"/>
        <v>0</v>
      </c>
      <c r="G32" s="27">
        <f>G33+G34+G35</f>
        <v>0</v>
      </c>
      <c r="H32" s="27">
        <f t="shared" si="9"/>
        <v>0</v>
      </c>
      <c r="I32" s="27">
        <f>I33+I34+I35</f>
        <v>0</v>
      </c>
      <c r="J32" s="27">
        <f t="shared" si="9"/>
        <v>0</v>
      </c>
      <c r="K32" s="27">
        <f>K33+K34+K35</f>
        <v>0</v>
      </c>
      <c r="L32" s="18"/>
      <c r="M32" s="11"/>
      <c r="N32" s="11"/>
      <c r="O32" s="16"/>
    </row>
    <row r="33" spans="1:15" ht="27.75" customHeight="1">
      <c r="A33" s="28" t="s">
        <v>37</v>
      </c>
      <c r="B33" s="26" t="s">
        <v>21</v>
      </c>
      <c r="C33" s="25" t="s">
        <v>121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18"/>
      <c r="M33" s="11"/>
      <c r="N33" s="11"/>
      <c r="O33" s="16"/>
    </row>
    <row r="34" spans="1:15" ht="27.75" customHeight="1">
      <c r="A34" s="28" t="s">
        <v>38</v>
      </c>
      <c r="B34" s="26" t="s">
        <v>172</v>
      </c>
      <c r="C34" s="25" t="s">
        <v>121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18"/>
      <c r="M34" s="11"/>
      <c r="N34" s="11"/>
      <c r="O34" s="16"/>
    </row>
    <row r="35" spans="1:15" ht="27" customHeight="1">
      <c r="A35" s="28" t="s">
        <v>163</v>
      </c>
      <c r="B35" s="26" t="s">
        <v>22</v>
      </c>
      <c r="C35" s="25" t="s">
        <v>121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18"/>
      <c r="M35" s="11"/>
      <c r="N35" s="11"/>
      <c r="O35" s="16"/>
    </row>
    <row r="36" spans="1:15" ht="29.25" customHeight="1">
      <c r="A36" s="30" t="s">
        <v>8</v>
      </c>
      <c r="B36" s="26" t="s">
        <v>89</v>
      </c>
      <c r="C36" s="25" t="s">
        <v>121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18"/>
      <c r="M36" s="11"/>
      <c r="N36" s="11"/>
      <c r="O36" s="16"/>
    </row>
    <row r="37" spans="1:15" ht="29.25" customHeight="1">
      <c r="A37" s="30" t="s">
        <v>10</v>
      </c>
      <c r="B37" s="26" t="s">
        <v>39</v>
      </c>
      <c r="C37" s="25" t="s">
        <v>121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11"/>
      <c r="M37" s="11"/>
      <c r="N37" s="11"/>
      <c r="O37" s="16"/>
    </row>
    <row r="38" spans="1:15" ht="27.75" customHeight="1">
      <c r="A38" s="30" t="s">
        <v>13</v>
      </c>
      <c r="B38" s="31" t="s">
        <v>90</v>
      </c>
      <c r="C38" s="25" t="s">
        <v>121</v>
      </c>
      <c r="D38" s="32">
        <f aca="true" t="shared" si="10" ref="D38:K38">ROUND(D11+D28+D32+D36+D37,2)</f>
        <v>107650.82</v>
      </c>
      <c r="E38" s="32">
        <f t="shared" si="10"/>
        <v>104948.97</v>
      </c>
      <c r="F38" s="32">
        <f t="shared" si="10"/>
        <v>30221.75</v>
      </c>
      <c r="G38" s="32">
        <f t="shared" si="10"/>
        <v>30221.75</v>
      </c>
      <c r="H38" s="32">
        <f t="shared" si="10"/>
        <v>62661.03</v>
      </c>
      <c r="I38" s="32">
        <f t="shared" si="10"/>
        <v>62661.03</v>
      </c>
      <c r="J38" s="32">
        <f t="shared" si="10"/>
        <v>14768.02</v>
      </c>
      <c r="K38" s="32">
        <f t="shared" si="10"/>
        <v>12066.17</v>
      </c>
      <c r="L38" s="111">
        <f aca="true" t="shared" si="11" ref="L38:L46">F38+H38+J38</f>
        <v>107650.8</v>
      </c>
      <c r="M38" s="18">
        <f>G38+I38+K38</f>
        <v>104948.95</v>
      </c>
      <c r="N38" s="11"/>
      <c r="O38" s="16"/>
    </row>
    <row r="39" spans="1:15" ht="30.75" customHeight="1">
      <c r="A39" s="30" t="s">
        <v>45</v>
      </c>
      <c r="B39" s="45" t="s">
        <v>127</v>
      </c>
      <c r="C39" s="25" t="s">
        <v>121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111">
        <f t="shared" si="11"/>
        <v>0</v>
      </c>
      <c r="M39" s="11"/>
      <c r="N39" s="11"/>
      <c r="O39" s="16"/>
    </row>
    <row r="40" spans="1:13" ht="33.75" customHeight="1">
      <c r="A40" s="30" t="s">
        <v>48</v>
      </c>
      <c r="B40" s="45" t="s">
        <v>176</v>
      </c>
      <c r="C40" s="25" t="s">
        <v>121</v>
      </c>
      <c r="D40" s="32">
        <f aca="true" t="shared" si="12" ref="D40:K40">((D44+D45)/((100-18)/100))</f>
        <v>1211.6829268292684</v>
      </c>
      <c r="E40" s="32">
        <f t="shared" si="12"/>
        <v>1211.6829268292684</v>
      </c>
      <c r="F40" s="32">
        <f t="shared" si="12"/>
        <v>1211.6768292682927</v>
      </c>
      <c r="G40" s="32">
        <f t="shared" si="12"/>
        <v>1211.6829268292684</v>
      </c>
      <c r="H40" s="32">
        <f t="shared" si="12"/>
        <v>0</v>
      </c>
      <c r="I40" s="32">
        <f t="shared" si="12"/>
        <v>0</v>
      </c>
      <c r="J40" s="32">
        <f t="shared" si="12"/>
        <v>0</v>
      </c>
      <c r="K40" s="32">
        <f t="shared" si="12"/>
        <v>0</v>
      </c>
      <c r="L40" s="111">
        <f t="shared" si="11"/>
        <v>1211.6768292682927</v>
      </c>
      <c r="M40" s="11"/>
    </row>
    <row r="41" spans="1:12" ht="30" customHeight="1">
      <c r="A41" s="28" t="s">
        <v>73</v>
      </c>
      <c r="B41" s="26" t="s">
        <v>40</v>
      </c>
      <c r="C41" s="25" t="s">
        <v>121</v>
      </c>
      <c r="D41" s="27">
        <f aca="true" t="shared" si="13" ref="D41:K41">D40*0.18</f>
        <v>218.10292682926828</v>
      </c>
      <c r="E41" s="27">
        <f t="shared" si="13"/>
        <v>218.10292682926828</v>
      </c>
      <c r="F41" s="27">
        <f t="shared" si="13"/>
        <v>218.10182926829268</v>
      </c>
      <c r="G41" s="27">
        <f t="shared" si="13"/>
        <v>218.10292682926828</v>
      </c>
      <c r="H41" s="27">
        <f t="shared" si="13"/>
        <v>0</v>
      </c>
      <c r="I41" s="27">
        <f t="shared" si="13"/>
        <v>0</v>
      </c>
      <c r="J41" s="27">
        <f t="shared" si="13"/>
        <v>0</v>
      </c>
      <c r="K41" s="27">
        <f t="shared" si="13"/>
        <v>0</v>
      </c>
      <c r="L41" s="111">
        <f t="shared" si="11"/>
        <v>218.10182926829268</v>
      </c>
    </row>
    <row r="42" spans="1:12" ht="30" customHeight="1">
      <c r="A42" s="28" t="s">
        <v>75</v>
      </c>
      <c r="B42" s="26" t="s">
        <v>96</v>
      </c>
      <c r="C42" s="25" t="s">
        <v>121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111">
        <f t="shared" si="11"/>
        <v>0</v>
      </c>
    </row>
    <row r="43" spans="1:12" ht="31.5" customHeight="1">
      <c r="A43" s="28" t="s">
        <v>77</v>
      </c>
      <c r="B43" s="26" t="s">
        <v>41</v>
      </c>
      <c r="C43" s="25" t="s">
        <v>121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111">
        <f t="shared" si="11"/>
        <v>0</v>
      </c>
    </row>
    <row r="44" spans="1:12" ht="34.5" customHeight="1">
      <c r="A44" s="28" t="s">
        <v>79</v>
      </c>
      <c r="B44" s="26" t="s">
        <v>42</v>
      </c>
      <c r="C44" s="25" t="s">
        <v>121</v>
      </c>
      <c r="D44" s="27">
        <v>389.14</v>
      </c>
      <c r="E44" s="27">
        <f>G44+I44+K44</f>
        <v>389.14</v>
      </c>
      <c r="F44" s="27">
        <v>389.14</v>
      </c>
      <c r="G44" s="27">
        <v>389.14</v>
      </c>
      <c r="H44" s="27">
        <v>0</v>
      </c>
      <c r="I44" s="27">
        <v>0</v>
      </c>
      <c r="J44" s="27">
        <v>0</v>
      </c>
      <c r="K44" s="27">
        <v>0</v>
      </c>
      <c r="L44" s="111">
        <f t="shared" si="11"/>
        <v>389.14</v>
      </c>
    </row>
    <row r="45" spans="1:15" ht="34.5" customHeight="1">
      <c r="A45" s="28" t="s">
        <v>178</v>
      </c>
      <c r="B45" s="26" t="s">
        <v>43</v>
      </c>
      <c r="C45" s="25" t="s">
        <v>121</v>
      </c>
      <c r="D45" s="27">
        <v>604.44</v>
      </c>
      <c r="E45" s="27">
        <f>G45+I45+K45</f>
        <v>604.44</v>
      </c>
      <c r="F45" s="27">
        <f>F38*0.02</f>
        <v>604.4350000000001</v>
      </c>
      <c r="G45" s="27">
        <v>604.44</v>
      </c>
      <c r="H45" s="27">
        <v>0</v>
      </c>
      <c r="I45" s="27">
        <v>0</v>
      </c>
      <c r="J45" s="27">
        <v>0</v>
      </c>
      <c r="K45" s="27">
        <v>0</v>
      </c>
      <c r="L45" s="111">
        <f t="shared" si="11"/>
        <v>604.4350000000001</v>
      </c>
      <c r="M45" s="161">
        <f>G45+I45+K45</f>
        <v>604.44</v>
      </c>
      <c r="N45" s="160"/>
      <c r="O45" s="11"/>
    </row>
    <row r="46" spans="1:13" ht="51" customHeight="1">
      <c r="A46" s="30" t="s">
        <v>49</v>
      </c>
      <c r="B46" s="26" t="s">
        <v>44</v>
      </c>
      <c r="C46" s="25" t="s">
        <v>121</v>
      </c>
      <c r="D46" s="32">
        <f>D38+D39+D40</f>
        <v>108862.50292682927</v>
      </c>
      <c r="E46" s="32">
        <f>E38+E39+E40</f>
        <v>106160.65292682927</v>
      </c>
      <c r="F46" s="32">
        <f aca="true" t="shared" si="14" ref="F46:K46">F38+F39+F40</f>
        <v>31433.426829268294</v>
      </c>
      <c r="G46" s="32">
        <f t="shared" si="14"/>
        <v>31433.432926829268</v>
      </c>
      <c r="H46" s="32">
        <f t="shared" si="14"/>
        <v>62661.03</v>
      </c>
      <c r="I46" s="32">
        <f>I38+I39+I40</f>
        <v>62661.03</v>
      </c>
      <c r="J46" s="32">
        <f t="shared" si="14"/>
        <v>14768.02</v>
      </c>
      <c r="K46" s="32">
        <f t="shared" si="14"/>
        <v>12066.17</v>
      </c>
      <c r="L46" s="111">
        <f t="shared" si="11"/>
        <v>108862.4768292683</v>
      </c>
      <c r="M46" s="164">
        <f>G46+I46+K46</f>
        <v>106160.63292682926</v>
      </c>
    </row>
    <row r="47" spans="1:11" ht="34.5" customHeight="1">
      <c r="A47" s="30" t="s">
        <v>50</v>
      </c>
      <c r="B47" s="26" t="s">
        <v>128</v>
      </c>
      <c r="C47" s="25" t="s">
        <v>55</v>
      </c>
      <c r="D47" s="32">
        <f>ROUND(D46/D53*1000,2)</f>
        <v>2119.56</v>
      </c>
      <c r="E47" s="32">
        <f>ROUND(E46/E53*1000,2)</f>
        <v>2066.96</v>
      </c>
      <c r="F47" s="32">
        <f>ROUND(F46/F53*1000,2)</f>
        <v>1399.05</v>
      </c>
      <c r="G47" s="32">
        <f>ROUND(G46/G53*1000,2)</f>
        <v>1399.05</v>
      </c>
      <c r="H47" s="32">
        <f>ROUND(H46/H53*1000,2)</f>
        <v>2425.95</v>
      </c>
      <c r="I47" s="32">
        <f>ROUND(I46/I53*1000,2)</f>
        <v>2425.95</v>
      </c>
      <c r="J47" s="32">
        <f>ROUND(J46/J53*1000,2)</f>
        <v>4820.26</v>
      </c>
      <c r="K47" s="32">
        <f>ROUND(K46/K53*1000,2)</f>
        <v>3938.38</v>
      </c>
    </row>
    <row r="48" spans="1:11" ht="41.25" customHeight="1">
      <c r="A48" s="30" t="s">
        <v>60</v>
      </c>
      <c r="B48" s="109" t="s">
        <v>129</v>
      </c>
      <c r="C48" s="25" t="s">
        <v>55</v>
      </c>
      <c r="D48" s="27">
        <f>D14/D53*1000</f>
        <v>1801.3273155154682</v>
      </c>
      <c r="E48" s="27">
        <f>E14/E53*1000</f>
        <v>1748.7220314477127</v>
      </c>
      <c r="F48" s="27">
        <f>F14/F53*1000</f>
        <v>1050.4797346226549</v>
      </c>
      <c r="G48" s="27">
        <f>G14/G53*1000</f>
        <v>1050.4797346226549</v>
      </c>
      <c r="H48" s="27">
        <f>H14/H53*1000</f>
        <v>2131.309467026773</v>
      </c>
      <c r="I48" s="27">
        <f>ROUND(I14/I53*1000,2)</f>
        <v>2131.31</v>
      </c>
      <c r="J48" s="27">
        <f>J14/J53*1000</f>
        <v>4525.615750683805</v>
      </c>
      <c r="K48" s="27">
        <f>ROUND(K14/K53*1000,2)</f>
        <v>3643.74</v>
      </c>
    </row>
    <row r="49" spans="1:11" ht="41.25" customHeight="1">
      <c r="A49" s="30" t="s">
        <v>61</v>
      </c>
      <c r="B49" s="109" t="s">
        <v>130</v>
      </c>
      <c r="C49" s="25" t="s">
        <v>55</v>
      </c>
      <c r="D49" s="27">
        <f aca="true" t="shared" si="15" ref="D49:J49">D47-D48</f>
        <v>318.2326844845318</v>
      </c>
      <c r="E49" s="27">
        <f t="shared" si="15"/>
        <v>318.2379685522874</v>
      </c>
      <c r="F49" s="27">
        <f t="shared" si="15"/>
        <v>348.5702653773451</v>
      </c>
      <c r="G49" s="27">
        <f t="shared" si="15"/>
        <v>348.5702653773451</v>
      </c>
      <c r="H49" s="27">
        <f t="shared" si="15"/>
        <v>294.640532973227</v>
      </c>
      <c r="I49" s="27">
        <f t="shared" si="15"/>
        <v>294.6399999999999</v>
      </c>
      <c r="J49" s="27">
        <f t="shared" si="15"/>
        <v>294.6442493161949</v>
      </c>
      <c r="K49" s="27">
        <f>K47-K48</f>
        <v>294.6400000000003</v>
      </c>
    </row>
    <row r="50" spans="1:11" ht="54.75" customHeight="1">
      <c r="A50" s="30" t="s">
        <v>51</v>
      </c>
      <c r="B50" s="125" t="s">
        <v>215</v>
      </c>
      <c r="C50" s="25" t="s">
        <v>56</v>
      </c>
      <c r="D50" s="32">
        <f>F50+H50+J50</f>
        <v>47431.71000000001</v>
      </c>
      <c r="E50" s="32">
        <f>G50+I50+K50</f>
        <v>47431.71000000001</v>
      </c>
      <c r="F50" s="49">
        <v>20748.86</v>
      </c>
      <c r="G50" s="49">
        <v>20748.86</v>
      </c>
      <c r="H50" s="32">
        <v>23853.49</v>
      </c>
      <c r="I50" s="32">
        <v>23853.49</v>
      </c>
      <c r="J50" s="32">
        <v>2829.36</v>
      </c>
      <c r="K50" s="32">
        <v>2829.36</v>
      </c>
    </row>
    <row r="51" spans="1:11" ht="47.25" customHeight="1">
      <c r="A51" s="30" t="s">
        <v>52</v>
      </c>
      <c r="B51" s="109" t="s">
        <v>131</v>
      </c>
      <c r="C51" s="25" t="s">
        <v>56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</row>
    <row r="52" spans="1:11" ht="35.25" customHeight="1">
      <c r="A52" s="30" t="s">
        <v>53</v>
      </c>
      <c r="B52" s="109" t="s">
        <v>132</v>
      </c>
      <c r="C52" s="25" t="s">
        <v>55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</row>
    <row r="53" spans="1:11" ht="39" customHeight="1">
      <c r="A53" s="30" t="s">
        <v>134</v>
      </c>
      <c r="B53" s="109" t="s">
        <v>133</v>
      </c>
      <c r="C53" s="25" t="s">
        <v>56</v>
      </c>
      <c r="D53" s="32">
        <f>F53+H53+J53</f>
        <v>51360.81</v>
      </c>
      <c r="E53" s="32">
        <f>G53+I53+K53</f>
        <v>51360.81</v>
      </c>
      <c r="F53" s="49">
        <v>22467.63</v>
      </c>
      <c r="G53" s="49">
        <v>22467.63</v>
      </c>
      <c r="H53" s="32">
        <v>25829.44</v>
      </c>
      <c r="I53" s="32">
        <v>25829.44</v>
      </c>
      <c r="J53" s="32">
        <v>3063.74</v>
      </c>
      <c r="K53" s="32">
        <v>3063.74</v>
      </c>
    </row>
    <row r="54" spans="1:11" ht="57.75" customHeight="1">
      <c r="A54" s="30" t="s">
        <v>136</v>
      </c>
      <c r="B54" s="109" t="s">
        <v>135</v>
      </c>
      <c r="C54" s="25" t="s">
        <v>88</v>
      </c>
      <c r="D54" s="27">
        <f>D38/D53*1000</f>
        <v>2095.9720066720133</v>
      </c>
      <c r="E54" s="27">
        <f>E38/E53*1000</f>
        <v>2043.366722604258</v>
      </c>
      <c r="F54" s="27">
        <f aca="true" t="shared" si="16" ref="F54:K54">ROUND(F38/F53*1000,2)</f>
        <v>1345.12</v>
      </c>
      <c r="G54" s="27">
        <f t="shared" si="16"/>
        <v>1345.12</v>
      </c>
      <c r="H54" s="27">
        <f t="shared" si="16"/>
        <v>2425.95</v>
      </c>
      <c r="I54" s="27">
        <f>ROUND(I38/I53*1000,2)</f>
        <v>2425.95</v>
      </c>
      <c r="J54" s="27">
        <f t="shared" si="16"/>
        <v>4820.26</v>
      </c>
      <c r="K54" s="27">
        <f t="shared" si="16"/>
        <v>3938.38</v>
      </c>
    </row>
    <row r="55" spans="1:11" ht="1.5" customHeight="1">
      <c r="A55" s="110" t="s">
        <v>198</v>
      </c>
      <c r="B55" s="29" t="s">
        <v>91</v>
      </c>
      <c r="C55" s="26"/>
      <c r="D55" s="27">
        <f aca="true" t="shared" si="17" ref="D55:K55">D40/D38*100</f>
        <v>1.1255677632824983</v>
      </c>
      <c r="E55" s="27">
        <f t="shared" si="17"/>
        <v>1.1545448486338343</v>
      </c>
      <c r="F55" s="27">
        <f t="shared" si="17"/>
        <v>4.0092874478423415</v>
      </c>
      <c r="G55" s="27">
        <f t="shared" si="17"/>
        <v>4.0093076239108205</v>
      </c>
      <c r="H55" s="27">
        <f t="shared" si="17"/>
        <v>0</v>
      </c>
      <c r="I55" s="27">
        <f t="shared" si="17"/>
        <v>0</v>
      </c>
      <c r="J55" s="27">
        <f t="shared" si="17"/>
        <v>0</v>
      </c>
      <c r="K55" s="27">
        <f t="shared" si="17"/>
        <v>0</v>
      </c>
    </row>
    <row r="56" spans="1:11" ht="40.5" customHeight="1">
      <c r="A56" s="11"/>
      <c r="B56" s="52" t="s">
        <v>84</v>
      </c>
      <c r="C56" s="52"/>
      <c r="D56" s="11"/>
      <c r="E56" s="11"/>
      <c r="F56" s="11"/>
      <c r="G56" s="11"/>
      <c r="H56" s="11"/>
      <c r="I56" s="198" t="s">
        <v>94</v>
      </c>
      <c r="J56" s="199"/>
      <c r="K56" s="11"/>
    </row>
    <row r="57" spans="1:11" ht="40.5" customHeight="1">
      <c r="A57" s="165"/>
      <c r="B57" s="166"/>
      <c r="C57" s="167"/>
      <c r="D57" s="115"/>
      <c r="E57" s="115"/>
      <c r="F57" s="115"/>
      <c r="G57" s="115"/>
      <c r="H57" s="115"/>
      <c r="I57" s="115"/>
      <c r="J57" s="115"/>
      <c r="K57" s="115"/>
    </row>
    <row r="58" spans="1:11" ht="40.5" customHeight="1">
      <c r="A58" s="165"/>
      <c r="B58" s="166"/>
      <c r="C58" s="167"/>
      <c r="D58" s="115"/>
      <c r="E58" s="115"/>
      <c r="F58" s="115"/>
      <c r="G58" s="115"/>
      <c r="H58" s="115"/>
      <c r="I58" s="115"/>
      <c r="J58" s="115"/>
      <c r="K58" s="115"/>
    </row>
    <row r="59" spans="1:11" ht="18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1:11" ht="29.25" customHeight="1">
      <c r="A60" s="11"/>
      <c r="B60" s="52"/>
      <c r="C60" s="52"/>
      <c r="D60" s="11"/>
      <c r="E60" s="11"/>
      <c r="F60" s="11"/>
      <c r="G60" s="11"/>
      <c r="H60" s="11"/>
      <c r="I60" s="198"/>
      <c r="J60" s="199"/>
      <c r="K60" s="11"/>
    </row>
    <row r="61" spans="1:11" ht="24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1:11" ht="25.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1:11" ht="24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</row>
  </sheetData>
  <sheetProtection/>
  <mergeCells count="17">
    <mergeCell ref="I60:J60"/>
    <mergeCell ref="B8:B9"/>
    <mergeCell ref="A8:A9"/>
    <mergeCell ref="A2:B2"/>
    <mergeCell ref="A4:J4"/>
    <mergeCell ref="I56:J56"/>
    <mergeCell ref="J8:K8"/>
    <mergeCell ref="F8:G8"/>
    <mergeCell ref="H7:K7"/>
    <mergeCell ref="A5:K5"/>
    <mergeCell ref="I1:K1"/>
    <mergeCell ref="G2:K2"/>
    <mergeCell ref="A1:C1"/>
    <mergeCell ref="C8:C9"/>
    <mergeCell ref="D8:E8"/>
    <mergeCell ref="H8:I8"/>
    <mergeCell ref="I3:J3"/>
  </mergeCells>
  <printOptions/>
  <pageMargins left="1.2598425196850394" right="0.1968503937007874" top="0.984251968503937" bottom="0.5905511811023623" header="0.5118110236220472" footer="0.5118110236220472"/>
  <pageSetup horizontalDpi="600" verticalDpi="600" orientation="portrait" paperSize="9" scale="34" r:id="rId1"/>
  <ignoredErrors>
    <ignoredError sqref="A2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70"/>
  <sheetViews>
    <sheetView view="pageBreakPreview" zoomScale="58" zoomScaleNormal="58" zoomScaleSheetLayoutView="58" zoomScalePageLayoutView="0" workbookViewId="0" topLeftCell="A31">
      <selection activeCell="E49" sqref="E49"/>
    </sheetView>
  </sheetViews>
  <sheetFormatPr defaultColWidth="9.00390625" defaultRowHeight="12.75"/>
  <cols>
    <col min="1" max="1" width="14.375" style="2" customWidth="1"/>
    <col min="2" max="2" width="82.875" style="2" customWidth="1"/>
    <col min="3" max="3" width="13.375" style="2" customWidth="1"/>
    <col min="4" max="4" width="18.625" style="2" customWidth="1"/>
    <col min="5" max="5" width="15.25390625" style="2" customWidth="1"/>
    <col min="6" max="6" width="17.125" style="2" customWidth="1"/>
    <col min="7" max="7" width="16.625" style="2" customWidth="1"/>
    <col min="8" max="8" width="19.375" style="2" customWidth="1"/>
    <col min="9" max="10" width="18.00390625" style="2" customWidth="1"/>
    <col min="11" max="11" width="17.75390625" style="2" customWidth="1"/>
    <col min="12" max="12" width="17.75390625" style="2" hidden="1" customWidth="1"/>
    <col min="13" max="13" width="16.75390625" style="2" hidden="1" customWidth="1"/>
    <col min="14" max="16384" width="9.125" style="2" customWidth="1"/>
  </cols>
  <sheetData>
    <row r="1" spans="1:12" ht="27.75" customHeight="1">
      <c r="A1" s="221" t="s">
        <v>206</v>
      </c>
      <c r="B1" s="221"/>
      <c r="C1" s="222"/>
      <c r="D1" s="209"/>
      <c r="E1" s="209"/>
      <c r="F1" s="209"/>
      <c r="G1" s="209"/>
      <c r="H1" s="131"/>
      <c r="I1" s="131"/>
      <c r="J1" s="226" t="s">
        <v>93</v>
      </c>
      <c r="K1" s="199"/>
      <c r="L1" s="168"/>
    </row>
    <row r="2" spans="1:11" ht="30" customHeight="1">
      <c r="A2" s="191" t="s">
        <v>86</v>
      </c>
      <c r="B2" s="191"/>
      <c r="C2" s="94"/>
      <c r="D2" s="173"/>
      <c r="E2" s="173"/>
      <c r="F2" s="173"/>
      <c r="G2" s="173"/>
      <c r="H2" s="227" t="s">
        <v>179</v>
      </c>
      <c r="I2" s="227"/>
      <c r="J2" s="227"/>
      <c r="K2" s="227"/>
    </row>
    <row r="3" spans="1:11" ht="20.25" customHeight="1">
      <c r="A3" s="14"/>
      <c r="B3" s="14"/>
      <c r="C3" s="14"/>
      <c r="D3" s="15"/>
      <c r="E3" s="15"/>
      <c r="F3" s="15"/>
      <c r="G3" s="15"/>
      <c r="H3" s="15"/>
      <c r="I3" s="15"/>
      <c r="J3" s="15"/>
      <c r="K3" s="15"/>
    </row>
    <row r="4" spans="1:11" ht="31.5" customHeight="1">
      <c r="A4" s="14"/>
      <c r="B4" s="14"/>
      <c r="C4" s="14"/>
      <c r="D4" s="220"/>
      <c r="E4" s="209"/>
      <c r="F4" s="209"/>
      <c r="G4" s="209"/>
      <c r="H4" s="131"/>
      <c r="I4" s="51"/>
      <c r="J4" s="197" t="s">
        <v>219</v>
      </c>
      <c r="K4" s="197"/>
    </row>
    <row r="5" spans="1:11" ht="31.5" customHeight="1">
      <c r="A5" s="14"/>
      <c r="B5" s="14"/>
      <c r="C5" s="14"/>
      <c r="D5" s="108"/>
      <c r="E5" s="108"/>
      <c r="F5" s="108"/>
      <c r="G5" s="108"/>
      <c r="H5" s="108"/>
      <c r="I5" s="108"/>
      <c r="J5" s="108"/>
      <c r="K5" s="108"/>
    </row>
    <row r="6" spans="1:11" ht="36.75" customHeight="1">
      <c r="A6" s="223" t="s">
        <v>64</v>
      </c>
      <c r="B6" s="224"/>
      <c r="C6" s="224"/>
      <c r="D6" s="225"/>
      <c r="E6" s="184"/>
      <c r="F6" s="184"/>
      <c r="G6" s="184"/>
      <c r="H6" s="184"/>
      <c r="I6" s="184"/>
      <c r="J6" s="184"/>
      <c r="K6" s="184"/>
    </row>
    <row r="7" spans="1:11" ht="61.5" customHeight="1">
      <c r="A7" s="218" t="s">
        <v>264</v>
      </c>
      <c r="B7" s="202"/>
      <c r="C7" s="202"/>
      <c r="D7" s="219"/>
      <c r="E7" s="173"/>
      <c r="F7" s="173"/>
      <c r="G7" s="173"/>
      <c r="H7" s="173"/>
      <c r="I7" s="173"/>
      <c r="J7" s="173"/>
      <c r="K7" s="173"/>
    </row>
    <row r="8" spans="1:11" ht="29.25" customHeight="1">
      <c r="A8" s="34"/>
      <c r="B8" s="34"/>
      <c r="C8" s="34"/>
      <c r="D8" s="14"/>
      <c r="E8" s="14"/>
      <c r="F8" s="14"/>
      <c r="G8" s="14"/>
      <c r="H8" s="14"/>
      <c r="I8" s="14"/>
      <c r="J8" s="14"/>
      <c r="K8" s="14"/>
    </row>
    <row r="9" spans="1:11" ht="31.5" customHeight="1">
      <c r="A9" s="35"/>
      <c r="B9" s="35"/>
      <c r="C9" s="35"/>
      <c r="D9" s="159"/>
      <c r="E9" s="214"/>
      <c r="F9" s="215"/>
      <c r="G9" s="215"/>
      <c r="H9" s="159"/>
      <c r="I9" s="214" t="s">
        <v>137</v>
      </c>
      <c r="J9" s="215"/>
      <c r="K9" s="215"/>
    </row>
    <row r="10" spans="1:11" ht="69.75" customHeight="1">
      <c r="A10" s="210" t="s">
        <v>16</v>
      </c>
      <c r="B10" s="210" t="s">
        <v>17</v>
      </c>
      <c r="C10" s="210" t="s">
        <v>120</v>
      </c>
      <c r="D10" s="210" t="s">
        <v>209</v>
      </c>
      <c r="E10" s="210" t="s">
        <v>208</v>
      </c>
      <c r="F10" s="210" t="s">
        <v>210</v>
      </c>
      <c r="G10" s="212" t="s">
        <v>211</v>
      </c>
      <c r="H10" s="210" t="s">
        <v>259</v>
      </c>
      <c r="I10" s="210" t="s">
        <v>208</v>
      </c>
      <c r="J10" s="210" t="s">
        <v>210</v>
      </c>
      <c r="K10" s="212" t="s">
        <v>211</v>
      </c>
    </row>
    <row r="11" spans="1:11" ht="106.5" customHeight="1">
      <c r="A11" s="217"/>
      <c r="B11" s="217"/>
      <c r="C11" s="194"/>
      <c r="D11" s="216"/>
      <c r="E11" s="211"/>
      <c r="F11" s="211"/>
      <c r="G11" s="213"/>
      <c r="H11" s="216"/>
      <c r="I11" s="211"/>
      <c r="J11" s="211"/>
      <c r="K11" s="213"/>
    </row>
    <row r="12" spans="1:11" ht="31.5" customHeight="1">
      <c r="A12" s="36">
        <v>1</v>
      </c>
      <c r="B12" s="36">
        <v>2</v>
      </c>
      <c r="C12" s="69">
        <v>3</v>
      </c>
      <c r="D12" s="40">
        <v>4</v>
      </c>
      <c r="E12" s="40">
        <v>5</v>
      </c>
      <c r="F12" s="40">
        <v>6</v>
      </c>
      <c r="G12" s="40">
        <v>7</v>
      </c>
      <c r="H12" s="40">
        <v>8</v>
      </c>
      <c r="I12" s="40">
        <v>9</v>
      </c>
      <c r="J12" s="40">
        <v>10</v>
      </c>
      <c r="K12" s="40">
        <v>11</v>
      </c>
    </row>
    <row r="13" spans="1:13" ht="31.5" customHeight="1">
      <c r="A13" s="36">
        <v>1</v>
      </c>
      <c r="B13" s="37" t="s">
        <v>180</v>
      </c>
      <c r="C13" s="69" t="s">
        <v>54</v>
      </c>
      <c r="D13" s="73">
        <f aca="true" t="shared" si="0" ref="D13:K13">D15+D21+D22+D26</f>
        <v>5773.84</v>
      </c>
      <c r="E13" s="73">
        <f t="shared" si="0"/>
        <v>2525.749078462489</v>
      </c>
      <c r="F13" s="73">
        <f t="shared" si="0"/>
        <v>2903.6742445423115</v>
      </c>
      <c r="G13" s="73">
        <f t="shared" si="0"/>
        <v>344.4166769952001</v>
      </c>
      <c r="H13" s="73">
        <f t="shared" si="0"/>
        <v>5773.84</v>
      </c>
      <c r="I13" s="73">
        <f t="shared" si="0"/>
        <v>2525.749078462489</v>
      </c>
      <c r="J13" s="73">
        <f t="shared" si="0"/>
        <v>2903.6742445423115</v>
      </c>
      <c r="K13" s="73">
        <f t="shared" si="0"/>
        <v>344.4166769952001</v>
      </c>
      <c r="L13" s="122">
        <f>ДОДАТОК1!L11</f>
        <v>110859.63</v>
      </c>
      <c r="M13" s="124">
        <f>ДОДАТОК1!M11</f>
        <v>108157.78</v>
      </c>
    </row>
    <row r="14" spans="1:13" ht="1.5" customHeight="1" hidden="1">
      <c r="A14" s="36"/>
      <c r="B14" s="37" t="s">
        <v>92</v>
      </c>
      <c r="C14" s="69"/>
      <c r="D14" s="123">
        <f aca="true" t="shared" si="1" ref="D14:K14">ROUND(D15+D21+D22,2)</f>
        <v>5597.39</v>
      </c>
      <c r="E14" s="123">
        <f t="shared" si="1"/>
        <v>2448.56</v>
      </c>
      <c r="F14" s="123">
        <f t="shared" si="1"/>
        <v>2814.94</v>
      </c>
      <c r="G14" s="123">
        <f t="shared" si="1"/>
        <v>333.89</v>
      </c>
      <c r="H14" s="123">
        <f t="shared" si="1"/>
        <v>5597.39</v>
      </c>
      <c r="I14" s="123">
        <f t="shared" si="1"/>
        <v>2448.56</v>
      </c>
      <c r="J14" s="123">
        <f t="shared" si="1"/>
        <v>2814.94</v>
      </c>
      <c r="K14" s="123">
        <f t="shared" si="1"/>
        <v>333.89</v>
      </c>
      <c r="L14" s="124">
        <f>ДОДАТОК1!L12</f>
        <v>108273.95</v>
      </c>
      <c r="M14" s="124">
        <f>ДОДАТОК1!M12</f>
        <v>105572.1</v>
      </c>
    </row>
    <row r="15" spans="1:11" ht="31.5" customHeight="1">
      <c r="A15" s="43" t="s">
        <v>2</v>
      </c>
      <c r="B15" s="37" t="s">
        <v>181</v>
      </c>
      <c r="C15" s="69" t="s">
        <v>54</v>
      </c>
      <c r="D15" s="73">
        <f aca="true" t="shared" si="2" ref="D15:K15">SUM(D16:D19)</f>
        <v>3141.4700000000003</v>
      </c>
      <c r="E15" s="73">
        <f t="shared" si="2"/>
        <v>1374.226677136456</v>
      </c>
      <c r="F15" s="73">
        <f t="shared" si="2"/>
        <v>1579.8507629242126</v>
      </c>
      <c r="G15" s="73">
        <f t="shared" si="2"/>
        <v>187.39255993933176</v>
      </c>
      <c r="H15" s="73">
        <f t="shared" si="2"/>
        <v>3141.4700000000003</v>
      </c>
      <c r="I15" s="73">
        <f t="shared" si="2"/>
        <v>1374.226677136456</v>
      </c>
      <c r="J15" s="73">
        <f t="shared" si="2"/>
        <v>1579.8507629242126</v>
      </c>
      <c r="K15" s="73">
        <f t="shared" si="2"/>
        <v>187.39255993933176</v>
      </c>
    </row>
    <row r="16" spans="1:11" ht="35.25" customHeight="1">
      <c r="A16" s="43" t="s">
        <v>23</v>
      </c>
      <c r="B16" s="37" t="s">
        <v>123</v>
      </c>
      <c r="C16" s="69" t="s">
        <v>54</v>
      </c>
      <c r="D16" s="71">
        <v>2651.67</v>
      </c>
      <c r="E16" s="76">
        <f>D16/D56*E56</f>
        <v>1159.9651287334993</v>
      </c>
      <c r="F16" s="76">
        <f>D16/D56*F56</f>
        <v>1333.529485407547</v>
      </c>
      <c r="G16" s="76">
        <f>D16/D56*G56</f>
        <v>158.1753858589539</v>
      </c>
      <c r="H16" s="71">
        <v>2651.67</v>
      </c>
      <c r="I16" s="76">
        <f>H16/H56*I56</f>
        <v>1159.9651287334993</v>
      </c>
      <c r="J16" s="76">
        <f>H16/H56*J56</f>
        <v>1333.529485407547</v>
      </c>
      <c r="K16" s="76">
        <f>H16/H56*K56</f>
        <v>158.1753858589539</v>
      </c>
    </row>
    <row r="17" spans="1:11" ht="50.25" customHeight="1">
      <c r="A17" s="43" t="s">
        <v>24</v>
      </c>
      <c r="B17" s="38" t="s">
        <v>138</v>
      </c>
      <c r="C17" s="69" t="s">
        <v>54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</row>
    <row r="18" spans="1:11" ht="32.25" customHeight="1">
      <c r="A18" s="43" t="s">
        <v>25</v>
      </c>
      <c r="B18" s="37" t="s">
        <v>125</v>
      </c>
      <c r="C18" s="69" t="s">
        <v>54</v>
      </c>
      <c r="D18" s="71">
        <v>308.42</v>
      </c>
      <c r="E18" s="76">
        <f>D18/D56*E56</f>
        <v>134.9174086534093</v>
      </c>
      <c r="F18" s="76">
        <f>D18/D56*F56</f>
        <v>155.10495796588404</v>
      </c>
      <c r="G18" s="76">
        <f>D18/D56*G56</f>
        <v>18.397633380706708</v>
      </c>
      <c r="H18" s="71">
        <v>308.42</v>
      </c>
      <c r="I18" s="76">
        <f>H18/H56*I56</f>
        <v>134.9174086534093</v>
      </c>
      <c r="J18" s="76">
        <f>H18/H56*J56</f>
        <v>155.10495796588404</v>
      </c>
      <c r="K18" s="76">
        <f>H18/H56*K56</f>
        <v>18.397633380706708</v>
      </c>
    </row>
    <row r="19" spans="1:11" ht="36.75" customHeight="1">
      <c r="A19" s="43" t="s">
        <v>26</v>
      </c>
      <c r="B19" s="37" t="s">
        <v>126</v>
      </c>
      <c r="C19" s="69" t="s">
        <v>54</v>
      </c>
      <c r="D19" s="76">
        <v>181.38</v>
      </c>
      <c r="E19" s="76">
        <f>D19/D56*E56</f>
        <v>79.3441397495473</v>
      </c>
      <c r="F19" s="76">
        <f>D19/D56*F56</f>
        <v>91.21631955078153</v>
      </c>
      <c r="G19" s="76">
        <f>D19/D56*G56</f>
        <v>10.81954069967117</v>
      </c>
      <c r="H19" s="76">
        <v>181.38</v>
      </c>
      <c r="I19" s="76">
        <f>H19/H56*I56</f>
        <v>79.3441397495473</v>
      </c>
      <c r="J19" s="76">
        <f>H19/H56*J56</f>
        <v>91.21631955078153</v>
      </c>
      <c r="K19" s="76">
        <f>H19/H56*K56</f>
        <v>10.81954069967117</v>
      </c>
    </row>
    <row r="20" spans="1:15" ht="49.5" customHeight="1">
      <c r="A20" s="43" t="s">
        <v>27</v>
      </c>
      <c r="B20" s="37" t="s">
        <v>199</v>
      </c>
      <c r="C20" s="69" t="s">
        <v>54</v>
      </c>
      <c r="D20" s="76">
        <f>ROUND((ДОДАТОК1!D47*ДОДАТОК2!D54)/1000,2)</f>
        <v>8327.96</v>
      </c>
      <c r="E20" s="171">
        <f>ROUND((ДОДАТОК1!G47*ДОДАТОК2!E54)/1000,2)</f>
        <v>2404.65</v>
      </c>
      <c r="F20" s="171">
        <f>ROUND((ДОДАТОК1!H47*ДОДАТОК2!F54)/1000,2)</f>
        <v>4793.56</v>
      </c>
      <c r="G20" s="171">
        <f>ROUND((ДОДАТОК1!J47*ДОДАТОК2!G54)/1000,2)</f>
        <v>1129.77</v>
      </c>
      <c r="H20" s="76">
        <f>ROUND((ДОДАТОК1!E47*ДОДАТОК2!H54)/1000,2)</f>
        <v>8121.29</v>
      </c>
      <c r="I20" s="171">
        <f>ROUND((ДОДАТОК1!G47*ДОДАТОК2!I54)/1000,2)</f>
        <v>2404.65</v>
      </c>
      <c r="J20" s="171">
        <f>ROUND((ДОДАТОК1!I47*ДОДАТОК2!J54)/1000,2)</f>
        <v>4793.56</v>
      </c>
      <c r="K20" s="171">
        <f>ROUND((ДОДАТОК1!K47*ДОДАТОК2!K54)/1000,2)</f>
        <v>923.08</v>
      </c>
      <c r="L20" s="205"/>
      <c r="M20" s="206"/>
      <c r="N20" s="206"/>
      <c r="O20" s="206"/>
    </row>
    <row r="21" spans="1:11" ht="34.5" customHeight="1">
      <c r="A21" s="43" t="s">
        <v>3</v>
      </c>
      <c r="B21" s="37" t="s">
        <v>65</v>
      </c>
      <c r="C21" s="69" t="s">
        <v>54</v>
      </c>
      <c r="D21" s="71">
        <v>1522.42</v>
      </c>
      <c r="E21" s="76">
        <f>D21/D56*E56</f>
        <v>665.9780859935264</v>
      </c>
      <c r="F21" s="76">
        <f>D21/D56*F56</f>
        <v>765.6276833746876</v>
      </c>
      <c r="G21" s="76">
        <f>D21/D56*G56</f>
        <v>90.81423063178622</v>
      </c>
      <c r="H21" s="71">
        <v>1522.42</v>
      </c>
      <c r="I21" s="76">
        <f>H21/H56*I56</f>
        <v>665.9780859935264</v>
      </c>
      <c r="J21" s="76">
        <f>H21/H56*J56</f>
        <v>765.6276833746876</v>
      </c>
      <c r="K21" s="76">
        <f>H21/H56*K56</f>
        <v>90.81423063178622</v>
      </c>
    </row>
    <row r="22" spans="1:11" ht="33" customHeight="1">
      <c r="A22" s="43" t="s">
        <v>28</v>
      </c>
      <c r="B22" s="37" t="s">
        <v>182</v>
      </c>
      <c r="C22" s="69" t="s">
        <v>54</v>
      </c>
      <c r="D22" s="72">
        <f aca="true" t="shared" si="3" ref="D22:K22">SUM(D23:D25)</f>
        <v>933.5</v>
      </c>
      <c r="E22" s="73">
        <f t="shared" si="3"/>
        <v>408.35678937149856</v>
      </c>
      <c r="F22" s="73">
        <f t="shared" si="3"/>
        <v>469.4587843238205</v>
      </c>
      <c r="G22" s="73">
        <f t="shared" si="3"/>
        <v>55.68442630468099</v>
      </c>
      <c r="H22" s="72">
        <f t="shared" si="3"/>
        <v>933.5</v>
      </c>
      <c r="I22" s="73">
        <f t="shared" si="3"/>
        <v>408.35678937149856</v>
      </c>
      <c r="J22" s="73">
        <f t="shared" si="3"/>
        <v>469.4587843238205</v>
      </c>
      <c r="K22" s="73">
        <f t="shared" si="3"/>
        <v>55.68442630468099</v>
      </c>
    </row>
    <row r="23" spans="1:11" ht="37.5" customHeight="1">
      <c r="A23" s="43" t="s">
        <v>29</v>
      </c>
      <c r="B23" s="26" t="s">
        <v>172</v>
      </c>
      <c r="C23" s="69" t="s">
        <v>54</v>
      </c>
      <c r="D23" s="71">
        <v>334.93</v>
      </c>
      <c r="E23" s="76">
        <f>D23/D56*E56</f>
        <v>146.51412904573755</v>
      </c>
      <c r="F23" s="76">
        <f>D23/D56*F56</f>
        <v>168.43688337822948</v>
      </c>
      <c r="G23" s="76">
        <f>D23/D56*G56</f>
        <v>19.978987576033</v>
      </c>
      <c r="H23" s="71">
        <v>334.93</v>
      </c>
      <c r="I23" s="76">
        <f>H23/H56*I56</f>
        <v>146.51412904573755</v>
      </c>
      <c r="J23" s="76">
        <f>H23/H56*J56</f>
        <v>168.43688337822948</v>
      </c>
      <c r="K23" s="76">
        <f>H23/H56*K56</f>
        <v>19.978987576033</v>
      </c>
    </row>
    <row r="24" spans="1:11" ht="33" customHeight="1">
      <c r="A24" s="43" t="s">
        <v>30</v>
      </c>
      <c r="B24" s="26" t="s">
        <v>101</v>
      </c>
      <c r="C24" s="69" t="s">
        <v>54</v>
      </c>
      <c r="D24" s="71">
        <v>452.84</v>
      </c>
      <c r="E24" s="76">
        <f>D24/D56*E56</f>
        <v>198.09350669415042</v>
      </c>
      <c r="F24" s="76">
        <f>D24/D56*F56</f>
        <v>227.7340288089972</v>
      </c>
      <c r="G24" s="76">
        <f>D24/D56*G56</f>
        <v>27.012464496852424</v>
      </c>
      <c r="H24" s="71">
        <v>452.84</v>
      </c>
      <c r="I24" s="76">
        <f>H24/H56*I56</f>
        <v>198.09350669415042</v>
      </c>
      <c r="J24" s="76">
        <f>H24/H56*J56</f>
        <v>227.7340288089972</v>
      </c>
      <c r="K24" s="76">
        <f>H24/H56*K56</f>
        <v>27.012464496852424</v>
      </c>
    </row>
    <row r="25" spans="1:11" ht="30.75" customHeight="1">
      <c r="A25" s="44" t="s">
        <v>31</v>
      </c>
      <c r="B25" s="39" t="s">
        <v>20</v>
      </c>
      <c r="C25" s="69" t="s">
        <v>54</v>
      </c>
      <c r="D25" s="71">
        <v>145.73</v>
      </c>
      <c r="E25" s="76">
        <f>D25/D56*E56</f>
        <v>63.74915363161058</v>
      </c>
      <c r="F25" s="76">
        <f>D25/D56*F56</f>
        <v>73.28787213659385</v>
      </c>
      <c r="G25" s="76">
        <f>D25/D56*G56</f>
        <v>8.692974231795565</v>
      </c>
      <c r="H25" s="71">
        <v>145.73</v>
      </c>
      <c r="I25" s="76">
        <f>H25/H56*I56</f>
        <v>63.74915363161058</v>
      </c>
      <c r="J25" s="76">
        <f>H25/H56*J56</f>
        <v>73.28787213659385</v>
      </c>
      <c r="K25" s="76">
        <f>H25/H56*K56</f>
        <v>8.692974231795565</v>
      </c>
    </row>
    <row r="26" spans="1:11" ht="33" customHeight="1">
      <c r="A26" s="44" t="s">
        <v>32</v>
      </c>
      <c r="B26" s="39" t="s">
        <v>183</v>
      </c>
      <c r="C26" s="69" t="s">
        <v>54</v>
      </c>
      <c r="D26" s="74">
        <f aca="true" t="shared" si="4" ref="D26:K26">SUM(D27:D29)</f>
        <v>176.45</v>
      </c>
      <c r="E26" s="74">
        <f t="shared" si="4"/>
        <v>77.18752596100795</v>
      </c>
      <c r="F26" s="74">
        <f t="shared" si="4"/>
        <v>88.73701391959094</v>
      </c>
      <c r="G26" s="74">
        <f t="shared" si="4"/>
        <v>10.525460119401135</v>
      </c>
      <c r="H26" s="74">
        <f t="shared" si="4"/>
        <v>176.45</v>
      </c>
      <c r="I26" s="74">
        <f t="shared" si="4"/>
        <v>77.18752596100795</v>
      </c>
      <c r="J26" s="74">
        <f t="shared" si="4"/>
        <v>88.73701391959094</v>
      </c>
      <c r="K26" s="74">
        <f t="shared" si="4"/>
        <v>10.525460119401135</v>
      </c>
    </row>
    <row r="27" spans="1:11" ht="27.75" customHeight="1">
      <c r="A27" s="44" t="s">
        <v>33</v>
      </c>
      <c r="B27" s="39" t="s">
        <v>21</v>
      </c>
      <c r="C27" s="69" t="s">
        <v>54</v>
      </c>
      <c r="D27" s="74">
        <v>94.03</v>
      </c>
      <c r="E27" s="76">
        <f>D27/D56*E56</f>
        <v>41.13314290798287</v>
      </c>
      <c r="F27" s="76">
        <f>D27/D56*F56</f>
        <v>47.28785162289111</v>
      </c>
      <c r="G27" s="76">
        <f>D27/D56*G56</f>
        <v>5.609005469126035</v>
      </c>
      <c r="H27" s="74">
        <v>94.03</v>
      </c>
      <c r="I27" s="76">
        <f>H27/H56*I56</f>
        <v>41.13314290798287</v>
      </c>
      <c r="J27" s="76">
        <f>H27/H56*J56</f>
        <v>47.28785162289111</v>
      </c>
      <c r="K27" s="76">
        <f>H27/H56*K56</f>
        <v>5.609005469126035</v>
      </c>
    </row>
    <row r="28" spans="1:11" ht="29.25" customHeight="1">
      <c r="A28" s="44" t="s">
        <v>34</v>
      </c>
      <c r="B28" s="26" t="s">
        <v>172</v>
      </c>
      <c r="C28" s="69" t="s">
        <v>54</v>
      </c>
      <c r="D28" s="74">
        <v>19.31</v>
      </c>
      <c r="E28" s="76">
        <f>D28/D56*E56</f>
        <v>8.44710187762575</v>
      </c>
      <c r="F28" s="76">
        <f>D28/D56*F56</f>
        <v>9.711032806955517</v>
      </c>
      <c r="G28" s="76">
        <f>D28/D56*G56</f>
        <v>1.1518653154187357</v>
      </c>
      <c r="H28" s="74">
        <v>19.31</v>
      </c>
      <c r="I28" s="76">
        <f>H28/H56*I56</f>
        <v>8.44710187762575</v>
      </c>
      <c r="J28" s="76">
        <f>H28/H56*J56</f>
        <v>9.711032806955517</v>
      </c>
      <c r="K28" s="76">
        <f>H28/H56*K56</f>
        <v>1.1518653154187357</v>
      </c>
    </row>
    <row r="29" spans="1:11" ht="27" customHeight="1">
      <c r="A29" s="44" t="s">
        <v>35</v>
      </c>
      <c r="B29" s="39" t="s">
        <v>22</v>
      </c>
      <c r="C29" s="69" t="s">
        <v>54</v>
      </c>
      <c r="D29" s="74">
        <v>63.11</v>
      </c>
      <c r="E29" s="76">
        <f>D29/D56*E56</f>
        <v>27.607281175399326</v>
      </c>
      <c r="F29" s="76">
        <f>D29/D56*F56</f>
        <v>31.73812948974431</v>
      </c>
      <c r="G29" s="76">
        <f>D29/D56*G56</f>
        <v>3.7645893348563653</v>
      </c>
      <c r="H29" s="74">
        <v>63.11</v>
      </c>
      <c r="I29" s="76">
        <f>H29/H56*I56</f>
        <v>27.607281175399326</v>
      </c>
      <c r="J29" s="76">
        <f>H29/H56*J56</f>
        <v>31.73812948974431</v>
      </c>
      <c r="K29" s="76">
        <f>H29/H56*K56</f>
        <v>3.7645893348563653</v>
      </c>
    </row>
    <row r="30" spans="1:11" ht="33" customHeight="1">
      <c r="A30" s="44">
        <v>2</v>
      </c>
      <c r="B30" s="45" t="s">
        <v>174</v>
      </c>
      <c r="C30" s="69" t="s">
        <v>54</v>
      </c>
      <c r="D30" s="74">
        <f aca="true" t="shared" si="5" ref="D30:K30">SUM(D31:D33)</f>
        <v>218.33</v>
      </c>
      <c r="E30" s="74">
        <f t="shared" si="5"/>
        <v>95.5078069881942</v>
      </c>
      <c r="F30" s="74">
        <f t="shared" si="5"/>
        <v>109.7985392409424</v>
      </c>
      <c r="G30" s="74">
        <f t="shared" si="5"/>
        <v>13.023653770863417</v>
      </c>
      <c r="H30" s="74">
        <f t="shared" si="5"/>
        <v>218.33</v>
      </c>
      <c r="I30" s="74">
        <f t="shared" si="5"/>
        <v>95.5078069881942</v>
      </c>
      <c r="J30" s="74">
        <f t="shared" si="5"/>
        <v>109.7985392409424</v>
      </c>
      <c r="K30" s="74">
        <f t="shared" si="5"/>
        <v>13.023653770863417</v>
      </c>
    </row>
    <row r="31" spans="1:11" ht="32.25" customHeight="1">
      <c r="A31" s="44" t="s">
        <v>5</v>
      </c>
      <c r="B31" s="39" t="s">
        <v>21</v>
      </c>
      <c r="C31" s="69" t="s">
        <v>54</v>
      </c>
      <c r="D31" s="71">
        <v>161.62</v>
      </c>
      <c r="E31" s="76">
        <f>D31/D56*E56</f>
        <v>70.70018671475265</v>
      </c>
      <c r="F31" s="76">
        <f>D31/D56*F56</f>
        <v>81.27898095598916</v>
      </c>
      <c r="G31" s="76">
        <f>D31/D56*G56</f>
        <v>9.640832329258211</v>
      </c>
      <c r="H31" s="71">
        <v>161.62</v>
      </c>
      <c r="I31" s="76">
        <f>H31/H56*I56</f>
        <v>70.70018671475265</v>
      </c>
      <c r="J31" s="76">
        <f>H31/H56*J56</f>
        <v>81.27898095598916</v>
      </c>
      <c r="K31" s="76">
        <f>H31/H56*K56</f>
        <v>9.640832329258211</v>
      </c>
    </row>
    <row r="32" spans="1:11" ht="29.25" customHeight="1">
      <c r="A32" s="44" t="s">
        <v>6</v>
      </c>
      <c r="B32" s="26" t="s">
        <v>172</v>
      </c>
      <c r="C32" s="69" t="s">
        <v>54</v>
      </c>
      <c r="D32" s="71">
        <v>33.28</v>
      </c>
      <c r="E32" s="76">
        <f>D32/D56*E56</f>
        <v>14.558236690180474</v>
      </c>
      <c r="F32" s="76">
        <f>D32/D56*F56</f>
        <v>16.736570264913496</v>
      </c>
      <c r="G32" s="76">
        <f>D32/D56*G56</f>
        <v>1.9851930449060347</v>
      </c>
      <c r="H32" s="71">
        <v>33.28</v>
      </c>
      <c r="I32" s="76">
        <f>H32/H56*I56</f>
        <v>14.558236690180474</v>
      </c>
      <c r="J32" s="76">
        <f>H32/H56*J56</f>
        <v>16.736570264913496</v>
      </c>
      <c r="K32" s="76">
        <f>H32/H56*K56</f>
        <v>1.9851930449060347</v>
      </c>
    </row>
    <row r="33" spans="1:11" ht="26.25" customHeight="1">
      <c r="A33" s="44" t="s">
        <v>36</v>
      </c>
      <c r="B33" s="39" t="s">
        <v>22</v>
      </c>
      <c r="C33" s="69" t="s">
        <v>54</v>
      </c>
      <c r="D33" s="71">
        <v>23.43</v>
      </c>
      <c r="E33" s="76">
        <f>D33/D56*E56</f>
        <v>10.249383583261071</v>
      </c>
      <c r="F33" s="76">
        <f>D33/D56*F56</f>
        <v>11.782988020039758</v>
      </c>
      <c r="G33" s="76">
        <f>D33/D56*G56</f>
        <v>1.3976283966991703</v>
      </c>
      <c r="H33" s="71">
        <v>23.43</v>
      </c>
      <c r="I33" s="76">
        <f>H33/H56*I56</f>
        <v>10.249383583261071</v>
      </c>
      <c r="J33" s="76">
        <f>H33/H56*J56</f>
        <v>11.782988020039758</v>
      </c>
      <c r="K33" s="76">
        <f>H33/H56*K56</f>
        <v>1.3976283966991703</v>
      </c>
    </row>
    <row r="34" spans="1:11" ht="33" customHeight="1">
      <c r="A34" s="44" t="s">
        <v>7</v>
      </c>
      <c r="B34" s="45" t="s">
        <v>197</v>
      </c>
      <c r="C34" s="69" t="s">
        <v>54</v>
      </c>
      <c r="D34" s="74">
        <f aca="true" t="shared" si="6" ref="D34:K34">D35+D36+D37</f>
        <v>0</v>
      </c>
      <c r="E34" s="74">
        <f t="shared" si="6"/>
        <v>0</v>
      </c>
      <c r="F34" s="74">
        <f t="shared" si="6"/>
        <v>0</v>
      </c>
      <c r="G34" s="74">
        <f t="shared" si="6"/>
        <v>0</v>
      </c>
      <c r="H34" s="74">
        <f t="shared" si="6"/>
        <v>0</v>
      </c>
      <c r="I34" s="74">
        <f t="shared" si="6"/>
        <v>0</v>
      </c>
      <c r="J34" s="74">
        <f t="shared" si="6"/>
        <v>0</v>
      </c>
      <c r="K34" s="74">
        <f t="shared" si="6"/>
        <v>0</v>
      </c>
    </row>
    <row r="35" spans="1:11" ht="27.75" customHeight="1">
      <c r="A35" s="44" t="s">
        <v>37</v>
      </c>
      <c r="B35" s="39" t="s">
        <v>21</v>
      </c>
      <c r="C35" s="69" t="s">
        <v>54</v>
      </c>
      <c r="D35" s="74">
        <v>0</v>
      </c>
      <c r="E35" s="74"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4">
        <v>0</v>
      </c>
    </row>
    <row r="36" spans="1:11" ht="30.75" customHeight="1">
      <c r="A36" s="44" t="s">
        <v>38</v>
      </c>
      <c r="B36" s="26" t="s">
        <v>172</v>
      </c>
      <c r="C36" s="69" t="s">
        <v>54</v>
      </c>
      <c r="D36" s="74">
        <v>0</v>
      </c>
      <c r="E36" s="74">
        <v>0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4">
        <v>0</v>
      </c>
    </row>
    <row r="37" spans="1:11" ht="30.75" customHeight="1">
      <c r="A37" s="44" t="s">
        <v>163</v>
      </c>
      <c r="B37" s="39" t="s">
        <v>22</v>
      </c>
      <c r="C37" s="69" t="s">
        <v>54</v>
      </c>
      <c r="D37" s="74">
        <v>0</v>
      </c>
      <c r="E37" s="74"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4">
        <v>0</v>
      </c>
    </row>
    <row r="38" spans="1:11" ht="29.25" customHeight="1">
      <c r="A38" s="44" t="s">
        <v>8</v>
      </c>
      <c r="B38" s="39" t="s">
        <v>89</v>
      </c>
      <c r="C38" s="69" t="s">
        <v>54</v>
      </c>
      <c r="D38" s="74">
        <v>0</v>
      </c>
      <c r="E38" s="74">
        <v>0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4">
        <v>0</v>
      </c>
    </row>
    <row r="39" spans="1:11" ht="30.75" customHeight="1">
      <c r="A39" s="44" t="s">
        <v>10</v>
      </c>
      <c r="B39" s="39" t="s">
        <v>39</v>
      </c>
      <c r="C39" s="69" t="s">
        <v>54</v>
      </c>
      <c r="D39" s="74">
        <v>0</v>
      </c>
      <c r="E39" s="74">
        <v>0</v>
      </c>
      <c r="F39" s="74">
        <v>0</v>
      </c>
      <c r="G39" s="74">
        <v>0</v>
      </c>
      <c r="H39" s="74">
        <v>0</v>
      </c>
      <c r="I39" s="74">
        <v>0</v>
      </c>
      <c r="J39" s="74">
        <v>0</v>
      </c>
      <c r="K39" s="74">
        <v>0</v>
      </c>
    </row>
    <row r="40" spans="1:12" ht="33" customHeight="1">
      <c r="A40" s="46" t="s">
        <v>13</v>
      </c>
      <c r="B40" s="45" t="s">
        <v>90</v>
      </c>
      <c r="C40" s="69" t="s">
        <v>54</v>
      </c>
      <c r="D40" s="112">
        <f aca="true" t="shared" si="7" ref="D40:K40">ROUND(D13+D20+D30+D34+D38+D39,2)</f>
        <v>14320.13</v>
      </c>
      <c r="E40" s="112">
        <f t="shared" si="7"/>
        <v>5025.91</v>
      </c>
      <c r="F40" s="112">
        <f t="shared" si="7"/>
        <v>7807.03</v>
      </c>
      <c r="G40" s="112">
        <f t="shared" si="7"/>
        <v>1487.21</v>
      </c>
      <c r="H40" s="112">
        <f t="shared" si="7"/>
        <v>14113.46</v>
      </c>
      <c r="I40" s="112">
        <f t="shared" si="7"/>
        <v>5025.91</v>
      </c>
      <c r="J40" s="112">
        <f t="shared" si="7"/>
        <v>7807.03</v>
      </c>
      <c r="K40" s="112">
        <f t="shared" si="7"/>
        <v>1280.52</v>
      </c>
      <c r="L40" s="55" t="s">
        <v>103</v>
      </c>
    </row>
    <row r="41" spans="1:11" ht="29.25" customHeight="1">
      <c r="A41" s="46" t="s">
        <v>45</v>
      </c>
      <c r="B41" s="45" t="s">
        <v>127</v>
      </c>
      <c r="C41" s="69" t="s">
        <v>54</v>
      </c>
      <c r="D41" s="74">
        <v>0</v>
      </c>
      <c r="E41" s="74">
        <v>0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4">
        <v>0</v>
      </c>
    </row>
    <row r="42" spans="1:11" ht="32.25" customHeight="1">
      <c r="A42" s="46" t="s">
        <v>48</v>
      </c>
      <c r="B42" s="45" t="s">
        <v>176</v>
      </c>
      <c r="C42" s="69" t="s">
        <v>54</v>
      </c>
      <c r="D42" s="76">
        <f aca="true" t="shared" si="8" ref="D42:K42">ROUND((D46+D47)/((100-18)/100),2)</f>
        <v>633.96</v>
      </c>
      <c r="E42" s="71">
        <f t="shared" si="8"/>
        <v>277.32</v>
      </c>
      <c r="F42" s="71">
        <f t="shared" si="8"/>
        <v>318.82</v>
      </c>
      <c r="G42" s="71">
        <f t="shared" si="8"/>
        <v>37.82</v>
      </c>
      <c r="H42" s="76">
        <f t="shared" si="8"/>
        <v>633.96</v>
      </c>
      <c r="I42" s="71">
        <f t="shared" si="8"/>
        <v>277.32</v>
      </c>
      <c r="J42" s="71">
        <f t="shared" si="8"/>
        <v>318.82</v>
      </c>
      <c r="K42" s="71">
        <f t="shared" si="8"/>
        <v>37.82</v>
      </c>
    </row>
    <row r="43" spans="1:11" ht="30" customHeight="1">
      <c r="A43" s="44" t="s">
        <v>73</v>
      </c>
      <c r="B43" s="39" t="s">
        <v>40</v>
      </c>
      <c r="C43" s="69" t="s">
        <v>54</v>
      </c>
      <c r="D43" s="74">
        <f aca="true" t="shared" si="9" ref="D43:K43">ROUND(D42*0.18,2)</f>
        <v>114.11</v>
      </c>
      <c r="E43" s="74">
        <f t="shared" si="9"/>
        <v>49.92</v>
      </c>
      <c r="F43" s="74">
        <f t="shared" si="9"/>
        <v>57.39</v>
      </c>
      <c r="G43" s="74">
        <f t="shared" si="9"/>
        <v>6.81</v>
      </c>
      <c r="H43" s="74">
        <f t="shared" si="9"/>
        <v>114.11</v>
      </c>
      <c r="I43" s="74">
        <f>ROUND(I42*0.18,2)</f>
        <v>49.92</v>
      </c>
      <c r="J43" s="74">
        <f t="shared" si="9"/>
        <v>57.39</v>
      </c>
      <c r="K43" s="74">
        <f t="shared" si="9"/>
        <v>6.81</v>
      </c>
    </row>
    <row r="44" spans="1:11" ht="30.75" customHeight="1">
      <c r="A44" s="44" t="s">
        <v>75</v>
      </c>
      <c r="B44" s="39" t="s">
        <v>96</v>
      </c>
      <c r="C44" s="69" t="s">
        <v>54</v>
      </c>
      <c r="D44" s="76">
        <v>0</v>
      </c>
      <c r="E44" s="76">
        <v>0</v>
      </c>
      <c r="F44" s="76">
        <v>0</v>
      </c>
      <c r="G44" s="76">
        <v>0</v>
      </c>
      <c r="H44" s="76">
        <v>0</v>
      </c>
      <c r="I44" s="76">
        <v>0</v>
      </c>
      <c r="J44" s="76">
        <v>0</v>
      </c>
      <c r="K44" s="76">
        <v>0</v>
      </c>
    </row>
    <row r="45" spans="1:11" ht="30.75" customHeight="1">
      <c r="A45" s="44" t="s">
        <v>77</v>
      </c>
      <c r="B45" s="39" t="s">
        <v>97</v>
      </c>
      <c r="C45" s="69" t="s">
        <v>54</v>
      </c>
      <c r="D45" s="76">
        <v>0</v>
      </c>
      <c r="E45" s="76">
        <v>0</v>
      </c>
      <c r="F45" s="76">
        <v>0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</row>
    <row r="46" spans="1:11" ht="29.25" customHeight="1">
      <c r="A46" s="44" t="s">
        <v>79</v>
      </c>
      <c r="B46" s="39" t="s">
        <v>66</v>
      </c>
      <c r="C46" s="69" t="s">
        <v>54</v>
      </c>
      <c r="D46" s="74">
        <v>400</v>
      </c>
      <c r="E46" s="74">
        <f>D46/D56*E56</f>
        <v>174.97880637236145</v>
      </c>
      <c r="F46" s="76">
        <f>D46/D56*F56</f>
        <v>201.16070029944103</v>
      </c>
      <c r="G46" s="76">
        <f>D46/D56*G56</f>
        <v>23.860493328197528</v>
      </c>
      <c r="H46" s="74">
        <v>400</v>
      </c>
      <c r="I46" s="74">
        <f>H46/H56*I56</f>
        <v>174.97880637236145</v>
      </c>
      <c r="J46" s="76">
        <f>H46/H56*J56</f>
        <v>201.16070029944103</v>
      </c>
      <c r="K46" s="76">
        <f>H46/H56*K56</f>
        <v>23.860493328197528</v>
      </c>
    </row>
    <row r="47" spans="1:11" ht="28.5" customHeight="1">
      <c r="A47" s="44" t="s">
        <v>178</v>
      </c>
      <c r="B47" s="39" t="s">
        <v>67</v>
      </c>
      <c r="C47" s="69" t="s">
        <v>54</v>
      </c>
      <c r="D47" s="74">
        <f aca="true" t="shared" si="10" ref="D47:K47">(D40-D20)*0.02</f>
        <v>119.8434</v>
      </c>
      <c r="E47" s="74">
        <f t="shared" si="10"/>
        <v>52.4252</v>
      </c>
      <c r="F47" s="74">
        <f t="shared" si="10"/>
        <v>60.26939999999999</v>
      </c>
      <c r="G47" s="74">
        <f t="shared" si="10"/>
        <v>7.148800000000001</v>
      </c>
      <c r="H47" s="74">
        <f t="shared" si="10"/>
        <v>119.84339999999999</v>
      </c>
      <c r="I47" s="74">
        <f t="shared" si="10"/>
        <v>52.4252</v>
      </c>
      <c r="J47" s="74">
        <f t="shared" si="10"/>
        <v>60.26939999999999</v>
      </c>
      <c r="K47" s="74">
        <f t="shared" si="10"/>
        <v>7.148799999999999</v>
      </c>
    </row>
    <row r="48" spans="1:11" ht="48" customHeight="1">
      <c r="A48" s="46" t="s">
        <v>49</v>
      </c>
      <c r="B48" s="45" t="s">
        <v>68</v>
      </c>
      <c r="C48" s="69" t="s">
        <v>54</v>
      </c>
      <c r="D48" s="74">
        <f>ROUND(D40+D41+D42,2)</f>
        <v>14954.09</v>
      </c>
      <c r="E48" s="74">
        <f>ROUND(E40+E41+E42,2)</f>
        <v>5303.23</v>
      </c>
      <c r="F48" s="74">
        <f>ROUND(F40+F41+F42,2)</f>
        <v>8125.85</v>
      </c>
      <c r="G48" s="74">
        <f>ROUND(G40+G41+G42,4)</f>
        <v>1525.03</v>
      </c>
      <c r="H48" s="74">
        <f>ROUND(H40+H41+H42,2)</f>
        <v>14747.42</v>
      </c>
      <c r="I48" s="74">
        <f>ROUND(I40+I41+I42,2)</f>
        <v>5303.23</v>
      </c>
      <c r="J48" s="74">
        <f>ROUND(J40+J41+J42,2)</f>
        <v>8125.85</v>
      </c>
      <c r="K48" s="74">
        <f>ROUND(K40+K41+K42,4)</f>
        <v>1318.34</v>
      </c>
    </row>
    <row r="49" spans="1:11" ht="51.75" customHeight="1">
      <c r="A49" s="46" t="s">
        <v>50</v>
      </c>
      <c r="B49" s="45" t="s">
        <v>95</v>
      </c>
      <c r="C49" s="70" t="s">
        <v>55</v>
      </c>
      <c r="D49" s="112">
        <f>ROUND((D48/D56)*1000,2)</f>
        <v>315.28</v>
      </c>
      <c r="E49" s="112">
        <f>ROUND((E48/E56)*1000,2)</f>
        <v>255.59</v>
      </c>
      <c r="F49" s="112">
        <f>ROUND((F48/F56)*1000,2)</f>
        <v>340.66</v>
      </c>
      <c r="G49" s="112">
        <f>ROUND((G48/G56)*1000,2)</f>
        <v>539</v>
      </c>
      <c r="H49" s="112">
        <f>ROUND((H48/H56)*1000,4)</f>
        <v>310.919</v>
      </c>
      <c r="I49" s="112">
        <f>ROUND((I48/I56)*1000,1)</f>
        <v>255.6</v>
      </c>
      <c r="J49" s="112">
        <f>ROUND((J48/J56)*1000,2)</f>
        <v>340.66</v>
      </c>
      <c r="K49" s="112">
        <f>ROUND((K48/K56)*1000,2)</f>
        <v>465.95</v>
      </c>
    </row>
    <row r="50" spans="1:11" ht="48.75" customHeight="1">
      <c r="A50" s="44" t="s">
        <v>51</v>
      </c>
      <c r="B50" s="26" t="s">
        <v>184</v>
      </c>
      <c r="C50" s="70" t="s">
        <v>56</v>
      </c>
      <c r="D50" s="75">
        <v>51360.81</v>
      </c>
      <c r="E50" s="75">
        <v>22467.63</v>
      </c>
      <c r="F50" s="75">
        <v>25829.44</v>
      </c>
      <c r="G50" s="75">
        <v>3063.74</v>
      </c>
      <c r="H50" s="75">
        <v>51360.81</v>
      </c>
      <c r="I50" s="75">
        <v>22467.63</v>
      </c>
      <c r="J50" s="75">
        <v>25829.44</v>
      </c>
      <c r="K50" s="75">
        <v>3063.74</v>
      </c>
    </row>
    <row r="51" spans="1:11" ht="30.75" customHeight="1">
      <c r="A51" s="44" t="s">
        <v>99</v>
      </c>
      <c r="B51" s="26" t="s">
        <v>98</v>
      </c>
      <c r="C51" s="70" t="s">
        <v>56</v>
      </c>
      <c r="D51" s="75">
        <v>51360.81</v>
      </c>
      <c r="E51" s="75">
        <v>22467.63</v>
      </c>
      <c r="F51" s="75">
        <v>25829.44</v>
      </c>
      <c r="G51" s="75">
        <v>3063.74</v>
      </c>
      <c r="H51" s="75">
        <v>51360.81</v>
      </c>
      <c r="I51" s="75">
        <v>22467.63</v>
      </c>
      <c r="J51" s="75">
        <v>25829.44</v>
      </c>
      <c r="K51" s="75">
        <v>3063.74</v>
      </c>
    </row>
    <row r="52" spans="1:11" ht="49.5" customHeight="1">
      <c r="A52" s="44" t="s">
        <v>100</v>
      </c>
      <c r="B52" s="26" t="s">
        <v>139</v>
      </c>
      <c r="C52" s="70" t="s">
        <v>56</v>
      </c>
      <c r="D52" s="76">
        <v>0</v>
      </c>
      <c r="E52" s="76">
        <v>0</v>
      </c>
      <c r="F52" s="76">
        <v>0</v>
      </c>
      <c r="G52" s="76">
        <v>0</v>
      </c>
      <c r="H52" s="76">
        <v>0</v>
      </c>
      <c r="I52" s="76">
        <v>0</v>
      </c>
      <c r="J52" s="76">
        <v>0</v>
      </c>
      <c r="K52" s="76">
        <v>0</v>
      </c>
    </row>
    <row r="53" spans="1:11" ht="54.75" customHeight="1">
      <c r="A53" s="44" t="s">
        <v>52</v>
      </c>
      <c r="B53" s="26" t="s">
        <v>260</v>
      </c>
      <c r="C53" s="70" t="s">
        <v>56</v>
      </c>
      <c r="D53" s="76">
        <f>D50-D56</f>
        <v>3929.0999999999985</v>
      </c>
      <c r="E53" s="71">
        <v>1718.77</v>
      </c>
      <c r="F53" s="71">
        <v>1975.95</v>
      </c>
      <c r="G53" s="71">
        <v>234.38</v>
      </c>
      <c r="H53" s="76">
        <f>H50-H56</f>
        <v>3929.0999999999985</v>
      </c>
      <c r="I53" s="71">
        <v>1718.77</v>
      </c>
      <c r="J53" s="71">
        <v>1975.95</v>
      </c>
      <c r="K53" s="71">
        <v>234.38</v>
      </c>
    </row>
    <row r="54" spans="1:11" ht="29.25" customHeight="1">
      <c r="A54" s="44" t="s">
        <v>141</v>
      </c>
      <c r="B54" s="26" t="s">
        <v>98</v>
      </c>
      <c r="C54" s="70" t="s">
        <v>56</v>
      </c>
      <c r="D54" s="76">
        <f>D51-D56</f>
        <v>3929.0999999999985</v>
      </c>
      <c r="E54" s="71">
        <v>1718.77</v>
      </c>
      <c r="F54" s="71">
        <v>1975.95</v>
      </c>
      <c r="G54" s="71">
        <v>234.38</v>
      </c>
      <c r="H54" s="76">
        <f>H51-H56</f>
        <v>3929.0999999999985</v>
      </c>
      <c r="I54" s="71">
        <v>1718.77</v>
      </c>
      <c r="J54" s="71">
        <v>1975.95</v>
      </c>
      <c r="K54" s="71">
        <v>234.38</v>
      </c>
    </row>
    <row r="55" spans="1:11" ht="51" customHeight="1">
      <c r="A55" s="44" t="s">
        <v>143</v>
      </c>
      <c r="B55" s="26" t="s">
        <v>139</v>
      </c>
      <c r="C55" s="70" t="s">
        <v>56</v>
      </c>
      <c r="D55" s="74">
        <v>0</v>
      </c>
      <c r="E55" s="74">
        <v>0</v>
      </c>
      <c r="F55" s="74">
        <v>0</v>
      </c>
      <c r="G55" s="74">
        <v>0</v>
      </c>
      <c r="H55" s="74">
        <v>0</v>
      </c>
      <c r="I55" s="74">
        <v>0</v>
      </c>
      <c r="J55" s="74">
        <v>0</v>
      </c>
      <c r="K55" s="74">
        <v>0</v>
      </c>
    </row>
    <row r="56" spans="1:11" ht="53.25" customHeight="1">
      <c r="A56" s="44" t="s">
        <v>53</v>
      </c>
      <c r="B56" s="31" t="s">
        <v>140</v>
      </c>
      <c r="C56" s="40" t="s">
        <v>56</v>
      </c>
      <c r="D56" s="112">
        <f>D57+D59</f>
        <v>47431.71</v>
      </c>
      <c r="E56" s="119">
        <v>20748.86</v>
      </c>
      <c r="F56" s="119">
        <v>23853.49</v>
      </c>
      <c r="G56" s="119">
        <v>2829.36</v>
      </c>
      <c r="H56" s="112">
        <f>H57+H59</f>
        <v>47431.71</v>
      </c>
      <c r="I56" s="119">
        <v>20748.86</v>
      </c>
      <c r="J56" s="119">
        <v>23853.49</v>
      </c>
      <c r="K56" s="119">
        <v>2829.36</v>
      </c>
    </row>
    <row r="57" spans="1:11" ht="32.25" customHeight="1">
      <c r="A57" s="44" t="s">
        <v>185</v>
      </c>
      <c r="B57" s="26" t="s">
        <v>142</v>
      </c>
      <c r="C57" s="40" t="s">
        <v>56</v>
      </c>
      <c r="D57" s="75">
        <v>136.84</v>
      </c>
      <c r="E57" s="75">
        <v>0</v>
      </c>
      <c r="F57" s="75">
        <v>0</v>
      </c>
      <c r="G57" s="75">
        <v>136.84</v>
      </c>
      <c r="H57" s="75">
        <v>136.84</v>
      </c>
      <c r="I57" s="75">
        <v>0</v>
      </c>
      <c r="J57" s="75">
        <v>0</v>
      </c>
      <c r="K57" s="75">
        <v>136.84</v>
      </c>
    </row>
    <row r="58" spans="1:11" ht="37.5" customHeight="1">
      <c r="A58" s="44" t="s">
        <v>186</v>
      </c>
      <c r="B58" s="26" t="s">
        <v>144</v>
      </c>
      <c r="C58" s="40" t="s">
        <v>56</v>
      </c>
      <c r="D58" s="74">
        <v>0</v>
      </c>
      <c r="E58" s="74">
        <v>0</v>
      </c>
      <c r="F58" s="74">
        <v>0</v>
      </c>
      <c r="G58" s="74">
        <v>0</v>
      </c>
      <c r="H58" s="74">
        <v>0</v>
      </c>
      <c r="I58" s="74">
        <v>0</v>
      </c>
      <c r="J58" s="74">
        <v>0</v>
      </c>
      <c r="K58" s="74">
        <v>0</v>
      </c>
    </row>
    <row r="59" spans="1:11" ht="50.25" customHeight="1">
      <c r="A59" s="44" t="s">
        <v>145</v>
      </c>
      <c r="B59" s="26" t="s">
        <v>146</v>
      </c>
      <c r="C59" s="40" t="s">
        <v>56</v>
      </c>
      <c r="D59" s="112">
        <f>D60+D61+D62</f>
        <v>47294.87</v>
      </c>
      <c r="E59" s="119">
        <v>20748.86</v>
      </c>
      <c r="F59" s="119">
        <v>23853.49</v>
      </c>
      <c r="G59" s="119">
        <v>2692.52</v>
      </c>
      <c r="H59" s="112">
        <f>H60+H61+H62</f>
        <v>47294.87</v>
      </c>
      <c r="I59" s="119">
        <v>20748.86</v>
      </c>
      <c r="J59" s="119">
        <v>23853.49</v>
      </c>
      <c r="K59" s="119">
        <v>2692.52</v>
      </c>
    </row>
    <row r="60" spans="1:11" ht="30" customHeight="1">
      <c r="A60" s="44" t="s">
        <v>147</v>
      </c>
      <c r="B60" s="26" t="s">
        <v>148</v>
      </c>
      <c r="C60" s="40" t="s">
        <v>56</v>
      </c>
      <c r="D60" s="119">
        <v>20748.86</v>
      </c>
      <c r="E60" s="141" t="s">
        <v>177</v>
      </c>
      <c r="F60" s="141" t="s">
        <v>177</v>
      </c>
      <c r="G60" s="141" t="s">
        <v>177</v>
      </c>
      <c r="H60" s="119">
        <v>20748.86</v>
      </c>
      <c r="I60" s="141" t="s">
        <v>177</v>
      </c>
      <c r="J60" s="141" t="s">
        <v>177</v>
      </c>
      <c r="K60" s="141" t="s">
        <v>177</v>
      </c>
    </row>
    <row r="61" spans="1:11" ht="32.25" customHeight="1">
      <c r="A61" s="44" t="s">
        <v>149</v>
      </c>
      <c r="B61" s="26" t="s">
        <v>150</v>
      </c>
      <c r="C61" s="40" t="s">
        <v>56</v>
      </c>
      <c r="D61" s="119">
        <v>23853.49</v>
      </c>
      <c r="E61" s="141" t="s">
        <v>177</v>
      </c>
      <c r="F61" s="141" t="s">
        <v>177</v>
      </c>
      <c r="G61" s="141" t="s">
        <v>177</v>
      </c>
      <c r="H61" s="119">
        <v>23853.49</v>
      </c>
      <c r="I61" s="141" t="s">
        <v>177</v>
      </c>
      <c r="J61" s="141" t="s">
        <v>177</v>
      </c>
      <c r="K61" s="141" t="s">
        <v>177</v>
      </c>
    </row>
    <row r="62" spans="1:12" ht="30" customHeight="1">
      <c r="A62" s="44" t="s">
        <v>151</v>
      </c>
      <c r="B62" s="26" t="s">
        <v>152</v>
      </c>
      <c r="C62" s="40" t="s">
        <v>56</v>
      </c>
      <c r="D62" s="119">
        <v>2692.52</v>
      </c>
      <c r="E62" s="141" t="s">
        <v>177</v>
      </c>
      <c r="F62" s="141" t="s">
        <v>177</v>
      </c>
      <c r="G62" s="141" t="s">
        <v>177</v>
      </c>
      <c r="H62" s="119">
        <v>2692.52</v>
      </c>
      <c r="I62" s="141" t="s">
        <v>177</v>
      </c>
      <c r="J62" s="141" t="s">
        <v>177</v>
      </c>
      <c r="K62" s="141" t="s">
        <v>177</v>
      </c>
      <c r="L62" s="162"/>
    </row>
    <row r="63" spans="1:11" ht="48.75" customHeight="1">
      <c r="A63" s="44" t="s">
        <v>134</v>
      </c>
      <c r="B63" s="26" t="s">
        <v>153</v>
      </c>
      <c r="C63" s="40" t="s">
        <v>56</v>
      </c>
      <c r="D63" s="74">
        <v>0</v>
      </c>
      <c r="E63" s="74">
        <v>0</v>
      </c>
      <c r="F63" s="74">
        <v>0</v>
      </c>
      <c r="G63" s="74">
        <v>0</v>
      </c>
      <c r="H63" s="74">
        <v>0</v>
      </c>
      <c r="I63" s="74">
        <v>0</v>
      </c>
      <c r="J63" s="74">
        <v>0</v>
      </c>
      <c r="K63" s="74">
        <v>0</v>
      </c>
    </row>
    <row r="64" spans="1:11" ht="54" customHeight="1">
      <c r="A64" s="44" t="s">
        <v>136</v>
      </c>
      <c r="B64" s="26" t="s">
        <v>154</v>
      </c>
      <c r="C64" s="40" t="s">
        <v>55</v>
      </c>
      <c r="D64" s="74">
        <v>0</v>
      </c>
      <c r="E64" s="74">
        <v>0</v>
      </c>
      <c r="F64" s="74">
        <v>0</v>
      </c>
      <c r="G64" s="74">
        <v>0</v>
      </c>
      <c r="H64" s="74">
        <v>0</v>
      </c>
      <c r="I64" s="74">
        <v>0</v>
      </c>
      <c r="J64" s="74">
        <v>0</v>
      </c>
      <c r="K64" s="74">
        <v>0</v>
      </c>
    </row>
    <row r="65" spans="1:11" ht="47.25" customHeight="1">
      <c r="A65" s="44" t="s">
        <v>198</v>
      </c>
      <c r="B65" s="109" t="s">
        <v>217</v>
      </c>
      <c r="C65" s="40" t="s">
        <v>55</v>
      </c>
      <c r="D65" s="76">
        <f>ROUND(D40/D56*1000,2)</f>
        <v>301.91</v>
      </c>
      <c r="E65" s="76">
        <f>ROUND(E40/E56*1000,2)</f>
        <v>242.23</v>
      </c>
      <c r="F65" s="76">
        <f>ROUND(F40/F56*1000,3)</f>
        <v>327.291</v>
      </c>
      <c r="G65" s="76">
        <f>ROUND(G40/G56*1000,3)</f>
        <v>525.635</v>
      </c>
      <c r="H65" s="76">
        <f>ROUND(H40/H56*1000,2)</f>
        <v>297.55</v>
      </c>
      <c r="I65" s="76">
        <f>ROUND(I40/I56*1000,2)</f>
        <v>242.23</v>
      </c>
      <c r="J65" s="76">
        <f>ROUND(J40/J56*1000,4)</f>
        <v>327.2909</v>
      </c>
      <c r="K65" s="76">
        <f>ROUND(K40/K56*1000,2)</f>
        <v>452.58</v>
      </c>
    </row>
    <row r="66" spans="1:11" ht="23.25">
      <c r="A66" s="41"/>
      <c r="B66" s="35"/>
      <c r="C66" s="35"/>
      <c r="D66" s="14"/>
      <c r="E66" s="14"/>
      <c r="F66" s="14"/>
      <c r="G66" s="14"/>
      <c r="H66" s="14"/>
      <c r="I66" s="14"/>
      <c r="J66" s="14"/>
      <c r="K66" s="14"/>
    </row>
    <row r="67" spans="1:11" ht="26.25">
      <c r="A67" s="207" t="s">
        <v>202</v>
      </c>
      <c r="B67" s="208"/>
      <c r="C67" s="208"/>
      <c r="D67" s="208"/>
      <c r="E67" s="209"/>
      <c r="F67" s="209"/>
      <c r="G67" s="209"/>
      <c r="H67" s="209"/>
      <c r="I67" s="209"/>
      <c r="J67" s="158"/>
      <c r="K67" s="158"/>
    </row>
    <row r="68" spans="1:11" ht="23.25">
      <c r="A68" s="41"/>
      <c r="B68" s="35"/>
      <c r="C68" s="35"/>
      <c r="D68" s="8"/>
      <c r="E68" s="8"/>
      <c r="F68" s="8"/>
      <c r="G68" s="8"/>
      <c r="H68" s="8"/>
      <c r="I68" s="8"/>
      <c r="J68" s="8"/>
      <c r="K68" s="8"/>
    </row>
    <row r="69" spans="1:11" ht="23.25">
      <c r="A69" s="41"/>
      <c r="B69" s="35"/>
      <c r="C69" s="35"/>
      <c r="D69" s="35"/>
      <c r="E69" s="35"/>
      <c r="F69" s="35"/>
      <c r="G69" s="35"/>
      <c r="H69" s="35"/>
      <c r="I69" s="35"/>
      <c r="J69" s="35"/>
      <c r="K69" s="35"/>
    </row>
    <row r="70" spans="1:11" ht="23.25">
      <c r="A70" s="42"/>
      <c r="B70" s="35"/>
      <c r="C70" s="35"/>
      <c r="D70" s="8"/>
      <c r="E70" s="8"/>
      <c r="F70" s="8"/>
      <c r="G70" s="8"/>
      <c r="H70" s="8"/>
      <c r="I70" s="8"/>
      <c r="J70" s="8"/>
      <c r="K70" s="8"/>
    </row>
  </sheetData>
  <sheetProtection/>
  <mergeCells count="25">
    <mergeCell ref="D1:G1"/>
    <mergeCell ref="D2:G2"/>
    <mergeCell ref="D4:G4"/>
    <mergeCell ref="A1:C1"/>
    <mergeCell ref="A2:B2"/>
    <mergeCell ref="A6:K6"/>
    <mergeCell ref="J1:K1"/>
    <mergeCell ref="H2:K2"/>
    <mergeCell ref="J4:K4"/>
    <mergeCell ref="C10:C11"/>
    <mergeCell ref="D10:D11"/>
    <mergeCell ref="H10:H11"/>
    <mergeCell ref="B10:B11"/>
    <mergeCell ref="A10:A11"/>
    <mergeCell ref="A7:K7"/>
    <mergeCell ref="L20:O20"/>
    <mergeCell ref="A67:I67"/>
    <mergeCell ref="E10:E11"/>
    <mergeCell ref="F10:F11"/>
    <mergeCell ref="G10:G11"/>
    <mergeCell ref="E9:G9"/>
    <mergeCell ref="I10:I11"/>
    <mergeCell ref="J10:J11"/>
    <mergeCell ref="K10:K11"/>
    <mergeCell ref="I9:K9"/>
  </mergeCells>
  <printOptions/>
  <pageMargins left="1.220472440944882" right="0.4330708661417323" top="0.984251968503937" bottom="0.984251968503937" header="0.5118110236220472" footer="0.5118110236220472"/>
  <pageSetup horizontalDpi="600" verticalDpi="600" orientation="portrait" paperSize="9" scale="28" r:id="rId1"/>
  <rowBreaks count="1" manualBreakCount="1">
    <brk id="67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59"/>
  <sheetViews>
    <sheetView view="pageBreakPreview" zoomScale="75" zoomScaleNormal="70" zoomScaleSheetLayoutView="75" zoomScalePageLayoutView="0" workbookViewId="0" topLeftCell="A40">
      <selection activeCell="D26" sqref="D26:G28"/>
    </sheetView>
  </sheetViews>
  <sheetFormatPr defaultColWidth="9.00390625" defaultRowHeight="12.75"/>
  <cols>
    <col min="1" max="1" width="9.25390625" style="2" customWidth="1"/>
    <col min="2" max="2" width="51.00390625" style="2" customWidth="1"/>
    <col min="3" max="3" width="15.375" style="2" customWidth="1"/>
    <col min="4" max="4" width="16.00390625" style="2" customWidth="1"/>
    <col min="5" max="5" width="14.25390625" style="2" customWidth="1"/>
    <col min="6" max="6" width="14.625" style="2" customWidth="1"/>
    <col min="7" max="10" width="15.00390625" style="2" customWidth="1"/>
    <col min="11" max="11" width="14.375" style="2" customWidth="1"/>
    <col min="12" max="12" width="14.625" style="2" hidden="1" customWidth="1"/>
    <col min="13" max="13" width="12.75390625" style="2" hidden="1" customWidth="1"/>
    <col min="14" max="16384" width="9.125" style="2" customWidth="1"/>
  </cols>
  <sheetData>
    <row r="1" spans="1:11" ht="45" customHeight="1">
      <c r="A1" s="243" t="s">
        <v>206</v>
      </c>
      <c r="B1" s="243"/>
      <c r="C1" s="244"/>
      <c r="D1" s="199"/>
      <c r="E1" s="199"/>
      <c r="F1" s="199"/>
      <c r="G1" s="199"/>
      <c r="H1" s="148"/>
      <c r="I1" s="148"/>
      <c r="J1" s="148"/>
      <c r="K1" s="169" t="s">
        <v>218</v>
      </c>
    </row>
    <row r="2" spans="1:12" ht="26.25" customHeight="1">
      <c r="A2" s="245" t="s">
        <v>86</v>
      </c>
      <c r="B2" s="245"/>
      <c r="C2" s="14"/>
      <c r="D2" s="233"/>
      <c r="E2" s="233"/>
      <c r="F2" s="233"/>
      <c r="G2" s="233"/>
      <c r="H2" s="228" t="s">
        <v>179</v>
      </c>
      <c r="I2" s="209"/>
      <c r="J2" s="209"/>
      <c r="K2" s="209"/>
      <c r="L2" s="68"/>
    </row>
    <row r="3" spans="1:12" ht="20.25">
      <c r="A3" s="8"/>
      <c r="B3" s="8"/>
      <c r="C3" s="8"/>
      <c r="D3" s="246"/>
      <c r="E3" s="246"/>
      <c r="F3" s="246"/>
      <c r="G3" s="246"/>
      <c r="H3" s="15"/>
      <c r="I3" s="15"/>
      <c r="J3" s="15"/>
      <c r="K3" s="15"/>
      <c r="L3" s="15"/>
    </row>
    <row r="4" spans="1:12" ht="20.25">
      <c r="A4" s="8"/>
      <c r="B4" s="8"/>
      <c r="C4" s="8"/>
      <c r="D4" s="209"/>
      <c r="E4" s="209"/>
      <c r="F4" s="209"/>
      <c r="G4" s="209"/>
      <c r="H4" s="131"/>
      <c r="I4" s="197" t="s">
        <v>219</v>
      </c>
      <c r="J4" s="173"/>
      <c r="K4" s="173"/>
      <c r="L4" s="56"/>
    </row>
    <row r="5" spans="1:11" ht="18">
      <c r="A5" s="8"/>
      <c r="B5" s="8"/>
      <c r="C5" s="8"/>
      <c r="D5" s="131"/>
      <c r="E5" s="131"/>
      <c r="F5" s="131"/>
      <c r="G5" s="131"/>
      <c r="H5" s="131"/>
      <c r="I5" s="131"/>
      <c r="J5" s="131"/>
      <c r="K5" s="131"/>
    </row>
    <row r="6" spans="1:11" ht="33.75" customHeight="1">
      <c r="A6" s="235" t="s">
        <v>64</v>
      </c>
      <c r="B6" s="236"/>
      <c r="C6" s="236"/>
      <c r="D6" s="237"/>
      <c r="E6" s="173"/>
      <c r="F6" s="173"/>
      <c r="G6" s="173"/>
      <c r="H6" s="173"/>
      <c r="I6" s="173"/>
      <c r="J6" s="173"/>
      <c r="K6" s="173"/>
    </row>
    <row r="7" spans="1:11" ht="55.5" customHeight="1">
      <c r="A7" s="238" t="s">
        <v>265</v>
      </c>
      <c r="B7" s="238"/>
      <c r="C7" s="238"/>
      <c r="D7" s="239"/>
      <c r="E7" s="240"/>
      <c r="F7" s="240"/>
      <c r="G7" s="240"/>
      <c r="H7" s="240"/>
      <c r="I7" s="240"/>
      <c r="J7" s="240"/>
      <c r="K7" s="240"/>
    </row>
    <row r="8" spans="1:11" ht="27.75" customHeight="1">
      <c r="A8" s="81"/>
      <c r="B8" s="81"/>
      <c r="C8" s="81"/>
      <c r="D8" s="80"/>
      <c r="E8" s="80"/>
      <c r="F8" s="80"/>
      <c r="G8" s="80"/>
      <c r="H8" s="80"/>
      <c r="I8" s="80"/>
      <c r="J8" s="80"/>
      <c r="K8" s="80"/>
    </row>
    <row r="9" spans="1:11" ht="28.5" customHeight="1">
      <c r="A9" s="47"/>
      <c r="B9" s="47"/>
      <c r="C9" s="47"/>
      <c r="D9" s="159"/>
      <c r="E9" s="241"/>
      <c r="F9" s="215"/>
      <c r="G9" s="215"/>
      <c r="H9" s="159"/>
      <c r="I9" s="241" t="s">
        <v>137</v>
      </c>
      <c r="J9" s="215"/>
      <c r="K9" s="215"/>
    </row>
    <row r="10" spans="1:11" ht="24" customHeight="1">
      <c r="A10" s="229" t="s">
        <v>16</v>
      </c>
      <c r="B10" s="229" t="s">
        <v>17</v>
      </c>
      <c r="C10" s="229" t="s">
        <v>120</v>
      </c>
      <c r="D10" s="229" t="s">
        <v>209</v>
      </c>
      <c r="E10" s="229" t="s">
        <v>208</v>
      </c>
      <c r="F10" s="229" t="s">
        <v>210</v>
      </c>
      <c r="G10" s="231" t="s">
        <v>211</v>
      </c>
      <c r="H10" s="229" t="s">
        <v>259</v>
      </c>
      <c r="I10" s="229" t="s">
        <v>208</v>
      </c>
      <c r="J10" s="229" t="s">
        <v>210</v>
      </c>
      <c r="K10" s="231" t="s">
        <v>211</v>
      </c>
    </row>
    <row r="11" spans="1:11" ht="88.5" customHeight="1">
      <c r="A11" s="230"/>
      <c r="B11" s="230"/>
      <c r="C11" s="230"/>
      <c r="D11" s="242"/>
      <c r="E11" s="230"/>
      <c r="F11" s="230"/>
      <c r="G11" s="232"/>
      <c r="H11" s="242"/>
      <c r="I11" s="230"/>
      <c r="J11" s="230"/>
      <c r="K11" s="232"/>
    </row>
    <row r="12" spans="1:11" ht="20.25">
      <c r="A12" s="84">
        <v>1</v>
      </c>
      <c r="B12" s="84">
        <v>2</v>
      </c>
      <c r="C12" s="84">
        <v>3</v>
      </c>
      <c r="D12" s="96">
        <v>4</v>
      </c>
      <c r="E12" s="95">
        <v>5</v>
      </c>
      <c r="F12" s="95">
        <v>6</v>
      </c>
      <c r="G12" s="95">
        <v>7</v>
      </c>
      <c r="H12" s="95">
        <v>8</v>
      </c>
      <c r="I12" s="95">
        <v>9</v>
      </c>
      <c r="J12" s="95">
        <v>10</v>
      </c>
      <c r="K12" s="95">
        <v>11</v>
      </c>
    </row>
    <row r="13" spans="1:13" ht="24.75" customHeight="1">
      <c r="A13" s="84">
        <v>1</v>
      </c>
      <c r="B13" s="97" t="s">
        <v>169</v>
      </c>
      <c r="C13" s="84" t="s">
        <v>54</v>
      </c>
      <c r="D13" s="98">
        <f aca="true" t="shared" si="0" ref="D13:K13">D15+D16+D17+D21</f>
        <v>400.83</v>
      </c>
      <c r="E13" s="98">
        <f t="shared" si="0"/>
        <v>175.34188739558405</v>
      </c>
      <c r="F13" s="98">
        <f t="shared" si="0"/>
        <v>201.57810875256234</v>
      </c>
      <c r="G13" s="98">
        <f t="shared" si="0"/>
        <v>23.91000385185354</v>
      </c>
      <c r="H13" s="98">
        <f t="shared" si="0"/>
        <v>400.83</v>
      </c>
      <c r="I13" s="98">
        <f t="shared" si="0"/>
        <v>175.34188739558405</v>
      </c>
      <c r="J13" s="98">
        <f t="shared" si="0"/>
        <v>201.57810875256234</v>
      </c>
      <c r="K13" s="98">
        <f t="shared" si="0"/>
        <v>23.91000385185354</v>
      </c>
      <c r="L13" s="121">
        <f>ДОДАТОК1!L11</f>
        <v>110859.63</v>
      </c>
      <c r="M13" s="163">
        <f>ДОДАТОК1!M11</f>
        <v>108157.78</v>
      </c>
    </row>
    <row r="14" spans="1:13" ht="22.5" customHeight="1" hidden="1">
      <c r="A14" s="84"/>
      <c r="B14" s="97" t="s">
        <v>92</v>
      </c>
      <c r="C14" s="84"/>
      <c r="D14" s="137">
        <f aca="true" t="shared" si="1" ref="D14:K14">ROUND(D15+D16+D17,2)</f>
        <v>388.58</v>
      </c>
      <c r="E14" s="135">
        <f t="shared" si="1"/>
        <v>169.98</v>
      </c>
      <c r="F14" s="135">
        <f t="shared" si="1"/>
        <v>195.42</v>
      </c>
      <c r="G14" s="135">
        <f t="shared" si="1"/>
        <v>23.18</v>
      </c>
      <c r="H14" s="137">
        <f t="shared" si="1"/>
        <v>388.58</v>
      </c>
      <c r="I14" s="135">
        <f t="shared" si="1"/>
        <v>169.98</v>
      </c>
      <c r="J14" s="135">
        <f t="shared" si="1"/>
        <v>195.42</v>
      </c>
      <c r="K14" s="135">
        <f t="shared" si="1"/>
        <v>23.18</v>
      </c>
      <c r="L14" s="134">
        <f>ДОДАТОК1!L12</f>
        <v>108273.95</v>
      </c>
      <c r="M14" s="163">
        <f>ДОДАТОК1!M12</f>
        <v>105572.1</v>
      </c>
    </row>
    <row r="15" spans="1:12" ht="24" customHeight="1">
      <c r="A15" s="99" t="s">
        <v>2</v>
      </c>
      <c r="B15" s="100" t="s">
        <v>70</v>
      </c>
      <c r="C15" s="84" t="s">
        <v>54</v>
      </c>
      <c r="D15" s="103">
        <v>0</v>
      </c>
      <c r="E15" s="103">
        <v>0</v>
      </c>
      <c r="F15" s="103">
        <v>0</v>
      </c>
      <c r="G15" s="103">
        <v>0</v>
      </c>
      <c r="H15" s="103">
        <v>0</v>
      </c>
      <c r="I15" s="103">
        <v>0</v>
      </c>
      <c r="J15" s="103">
        <v>0</v>
      </c>
      <c r="K15" s="103">
        <v>0</v>
      </c>
      <c r="L15" s="116">
        <f>ДОДАТОК1!D13+ДОДАТОК2!D15+'ДОДАТОК 3'!D15</f>
        <v>97210.65000000001</v>
      </c>
    </row>
    <row r="16" spans="1:12" ht="24.75" customHeight="1">
      <c r="A16" s="99" t="s">
        <v>3</v>
      </c>
      <c r="B16" s="97" t="s">
        <v>19</v>
      </c>
      <c r="C16" s="84" t="s">
        <v>54</v>
      </c>
      <c r="D16" s="95">
        <v>307.63</v>
      </c>
      <c r="E16" s="103">
        <f>D16/D45*E45</f>
        <v>134.57182551082386</v>
      </c>
      <c r="F16" s="103">
        <f>D16/D45*F45</f>
        <v>154.7076655827926</v>
      </c>
      <c r="G16" s="103">
        <f>D16/D45*G45</f>
        <v>18.350508906383514</v>
      </c>
      <c r="H16" s="95">
        <v>307.63</v>
      </c>
      <c r="I16" s="103">
        <f>H16/H45*I45</f>
        <v>134.57182551082386</v>
      </c>
      <c r="J16" s="103">
        <f>H16/H45*J45</f>
        <v>154.7076655827926</v>
      </c>
      <c r="K16" s="103">
        <f>H16/H45*K45</f>
        <v>18.350508906383514</v>
      </c>
      <c r="L16" s="116">
        <f>ДОДАТОК1!D19+ДОДАТОК2!D21+'ДОДАТОК 3'!D16</f>
        <v>7847.78</v>
      </c>
    </row>
    <row r="17" spans="1:12" ht="28.5" customHeight="1">
      <c r="A17" s="99" t="s">
        <v>28</v>
      </c>
      <c r="B17" s="97" t="s">
        <v>171</v>
      </c>
      <c r="C17" s="84" t="s">
        <v>54</v>
      </c>
      <c r="D17" s="84">
        <f aca="true" t="shared" si="2" ref="D17:K17">D18+D19+D20</f>
        <v>80.95</v>
      </c>
      <c r="E17" s="98">
        <f t="shared" si="2"/>
        <v>35.411335939606644</v>
      </c>
      <c r="F17" s="98">
        <f t="shared" si="2"/>
        <v>40.709896723099384</v>
      </c>
      <c r="G17" s="98">
        <f t="shared" si="2"/>
        <v>4.828767337293975</v>
      </c>
      <c r="H17" s="84">
        <f t="shared" si="2"/>
        <v>80.95</v>
      </c>
      <c r="I17" s="98">
        <f t="shared" si="2"/>
        <v>35.411335939606644</v>
      </c>
      <c r="J17" s="98">
        <f t="shared" si="2"/>
        <v>40.709896723099384</v>
      </c>
      <c r="K17" s="98">
        <f t="shared" si="2"/>
        <v>4.828767337293975</v>
      </c>
      <c r="L17" s="116">
        <f>ДОДАТОК1!D20+ДОДАТОК2!D22+'ДОДАТОК 3'!D17</f>
        <v>3215.52</v>
      </c>
    </row>
    <row r="18" spans="1:12" ht="24" customHeight="1">
      <c r="A18" s="99" t="s">
        <v>29</v>
      </c>
      <c r="B18" s="101" t="s">
        <v>172</v>
      </c>
      <c r="C18" s="84" t="s">
        <v>54</v>
      </c>
      <c r="D18" s="95">
        <v>67.68</v>
      </c>
      <c r="E18" s="103">
        <f>D18/D45*E45</f>
        <v>29.606414038203557</v>
      </c>
      <c r="F18" s="103">
        <f>D18/D45*F45</f>
        <v>34.036390490665426</v>
      </c>
      <c r="G18" s="103">
        <f>D18/D45*G45</f>
        <v>4.037195471131022</v>
      </c>
      <c r="H18" s="95">
        <v>67.68</v>
      </c>
      <c r="I18" s="103">
        <f>H18/H45*I45</f>
        <v>29.606414038203557</v>
      </c>
      <c r="J18" s="103">
        <f>H18/H45*J45</f>
        <v>34.036390490665426</v>
      </c>
      <c r="K18" s="103">
        <f>H18/H45*K45</f>
        <v>4.037195471131022</v>
      </c>
      <c r="L18" s="116">
        <f>ДОДАТОК1!D21+ДОДАТОК2!D23+'ДОДАТОК 3'!D18</f>
        <v>1700.8500000000001</v>
      </c>
    </row>
    <row r="19" spans="1:12" ht="24.75" customHeight="1">
      <c r="A19" s="99" t="s">
        <v>30</v>
      </c>
      <c r="B19" s="101" t="s">
        <v>101</v>
      </c>
      <c r="C19" s="84" t="s">
        <v>54</v>
      </c>
      <c r="D19" s="103">
        <v>0</v>
      </c>
      <c r="E19" s="103">
        <v>0</v>
      </c>
      <c r="F19" s="103">
        <v>0</v>
      </c>
      <c r="G19" s="103">
        <v>0</v>
      </c>
      <c r="H19" s="103">
        <v>0</v>
      </c>
      <c r="I19" s="103">
        <v>0</v>
      </c>
      <c r="J19" s="103">
        <v>0</v>
      </c>
      <c r="K19" s="103">
        <v>0</v>
      </c>
      <c r="L19" s="116">
        <f>ДОДАТОК1!D22+ДОДАТОК2!D24+'ДОДАТОК 3'!D19</f>
        <v>1069.82</v>
      </c>
    </row>
    <row r="20" spans="1:12" ht="24.75" customHeight="1">
      <c r="A20" s="99" t="s">
        <v>31</v>
      </c>
      <c r="B20" s="102" t="s">
        <v>20</v>
      </c>
      <c r="C20" s="84" t="s">
        <v>54</v>
      </c>
      <c r="D20" s="103">
        <v>13.27</v>
      </c>
      <c r="E20" s="103">
        <f>D20/D45*E45</f>
        <v>5.80492190140309</v>
      </c>
      <c r="F20" s="103">
        <f>E20/E45*F45</f>
        <v>6.673506232433955</v>
      </c>
      <c r="G20" s="103">
        <f>F20/F45*G45</f>
        <v>0.7915718661629529</v>
      </c>
      <c r="H20" s="103">
        <v>13.27</v>
      </c>
      <c r="I20" s="103">
        <f>H20/H45*I45</f>
        <v>5.80492190140309</v>
      </c>
      <c r="J20" s="103">
        <f>I20/I45*J45</f>
        <v>6.673506232433955</v>
      </c>
      <c r="K20" s="103">
        <f>J20/J45*K45</f>
        <v>0.7915718661629529</v>
      </c>
      <c r="L20" s="116">
        <f>ДОДАТОК1!D23+ДОДАТОК2!D25+'ДОДАТОК 3'!D20</f>
        <v>444.85</v>
      </c>
    </row>
    <row r="21" spans="1:12" ht="26.25" customHeight="1">
      <c r="A21" s="99" t="s">
        <v>32</v>
      </c>
      <c r="B21" s="102" t="s">
        <v>183</v>
      </c>
      <c r="C21" s="84" t="s">
        <v>54</v>
      </c>
      <c r="D21" s="98">
        <f aca="true" t="shared" si="3" ref="D21:K21">SUM(D22:D24)</f>
        <v>12.25</v>
      </c>
      <c r="E21" s="98">
        <f t="shared" si="3"/>
        <v>5.3587259451535685</v>
      </c>
      <c r="F21" s="98">
        <f t="shared" si="3"/>
        <v>6.160546446670381</v>
      </c>
      <c r="G21" s="98">
        <f t="shared" si="3"/>
        <v>0.7307276081760492</v>
      </c>
      <c r="H21" s="98">
        <f t="shared" si="3"/>
        <v>12.25</v>
      </c>
      <c r="I21" s="98">
        <f t="shared" si="3"/>
        <v>5.3587259451535685</v>
      </c>
      <c r="J21" s="98">
        <f t="shared" si="3"/>
        <v>6.160546446670381</v>
      </c>
      <c r="K21" s="98">
        <f t="shared" si="3"/>
        <v>0.7307276081760492</v>
      </c>
      <c r="L21" s="116">
        <f>ДОДАТОК1!D24+ДОДАТОК2!D26+'ДОДАТОК 3'!D21</f>
        <v>2585.68</v>
      </c>
    </row>
    <row r="22" spans="1:12" ht="27" customHeight="1">
      <c r="A22" s="99" t="s">
        <v>33</v>
      </c>
      <c r="B22" s="102" t="s">
        <v>21</v>
      </c>
      <c r="C22" s="84" t="s">
        <v>54</v>
      </c>
      <c r="D22" s="103">
        <v>6.53</v>
      </c>
      <c r="E22" s="103">
        <f>D22/D45*E45</f>
        <v>2.8565290140288</v>
      </c>
      <c r="F22" s="103">
        <f>E22/E45*F45</f>
        <v>3.2839484323883745</v>
      </c>
      <c r="G22" s="103">
        <f>F22/F45*G45</f>
        <v>0.3895225535828246</v>
      </c>
      <c r="H22" s="103">
        <v>6.53</v>
      </c>
      <c r="I22" s="103">
        <f>H22/H45*I45</f>
        <v>2.8565290140288</v>
      </c>
      <c r="J22" s="103">
        <f>I22/I45*J45</f>
        <v>3.2839484323883745</v>
      </c>
      <c r="K22" s="103">
        <f>J22/J45*K45</f>
        <v>0.3895225535828246</v>
      </c>
      <c r="L22" s="116">
        <f>ДОДАТОК1!D25+ДОДАТОК2!D27+'ДОДАТОК 3'!D22</f>
        <v>1377.8999999999999</v>
      </c>
    </row>
    <row r="23" spans="1:12" ht="25.5" customHeight="1">
      <c r="A23" s="99" t="s">
        <v>34</v>
      </c>
      <c r="B23" s="101" t="s">
        <v>172</v>
      </c>
      <c r="C23" s="84" t="s">
        <v>54</v>
      </c>
      <c r="D23" s="103">
        <v>1.34</v>
      </c>
      <c r="E23" s="103">
        <f>D23/D45*E45</f>
        <v>0.5861790013474109</v>
      </c>
      <c r="F23" s="103">
        <f>E23/E45*F45</f>
        <v>0.6738883460031274</v>
      </c>
      <c r="G23" s="103">
        <f>F23/F45*G45</f>
        <v>0.07993265264946171</v>
      </c>
      <c r="H23" s="103">
        <v>1.34</v>
      </c>
      <c r="I23" s="103">
        <f>H23/H45*I45</f>
        <v>0.5861790013474109</v>
      </c>
      <c r="J23" s="103">
        <f>I23/I45*J45</f>
        <v>0.6738883460031274</v>
      </c>
      <c r="K23" s="103">
        <f>J23/J45*K45</f>
        <v>0.07993265264946171</v>
      </c>
      <c r="L23" s="116">
        <f>ДОДАТОК1!D26+ДОДАТОК2!D28+'ДОДАТОК 3'!D23</f>
        <v>282.96999999999997</v>
      </c>
    </row>
    <row r="24" spans="1:12" ht="23.25" customHeight="1">
      <c r="A24" s="99" t="s">
        <v>35</v>
      </c>
      <c r="B24" s="102" t="s">
        <v>22</v>
      </c>
      <c r="C24" s="84" t="s">
        <v>54</v>
      </c>
      <c r="D24" s="103">
        <v>4.38</v>
      </c>
      <c r="E24" s="103">
        <f>D24/D45*E45</f>
        <v>1.9160179297773574</v>
      </c>
      <c r="F24" s="103">
        <f>E24/E45*F45</f>
        <v>2.202709668278879</v>
      </c>
      <c r="G24" s="103">
        <f>F24/F45*G45</f>
        <v>0.2612724019437629</v>
      </c>
      <c r="H24" s="103">
        <v>4.38</v>
      </c>
      <c r="I24" s="103">
        <f>H24/H45*I45</f>
        <v>1.9160179297773574</v>
      </c>
      <c r="J24" s="103">
        <f>I24/I45*J45</f>
        <v>2.202709668278879</v>
      </c>
      <c r="K24" s="103">
        <f>J24/J45*K45</f>
        <v>0.2612724019437629</v>
      </c>
      <c r="L24" s="116">
        <f>ДОДАТОК1!D27+ДОДАТОК2!D29+'ДОДАТОК 3'!D24</f>
        <v>924.8100000000001</v>
      </c>
    </row>
    <row r="25" spans="1:12" ht="26.25" customHeight="1">
      <c r="A25" s="99" t="s">
        <v>4</v>
      </c>
      <c r="B25" s="102" t="s">
        <v>174</v>
      </c>
      <c r="C25" s="84" t="s">
        <v>54</v>
      </c>
      <c r="D25" s="98">
        <f aca="true" t="shared" si="4" ref="D25:K25">SUM(D26:D28)</f>
        <v>15.16</v>
      </c>
      <c r="E25" s="98">
        <f t="shared" si="4"/>
        <v>6.631696761512499</v>
      </c>
      <c r="F25" s="98">
        <f t="shared" si="4"/>
        <v>7.623990541348815</v>
      </c>
      <c r="G25" s="98">
        <f t="shared" si="4"/>
        <v>0.9043126971386863</v>
      </c>
      <c r="H25" s="98">
        <f t="shared" si="4"/>
        <v>15.16</v>
      </c>
      <c r="I25" s="98">
        <f t="shared" si="4"/>
        <v>6.631696761512499</v>
      </c>
      <c r="J25" s="98">
        <f t="shared" si="4"/>
        <v>7.623990541348815</v>
      </c>
      <c r="K25" s="98">
        <f t="shared" si="4"/>
        <v>0.9043126971386863</v>
      </c>
      <c r="L25" s="117">
        <f>L26+L27+L28</f>
        <v>3199.35</v>
      </c>
    </row>
    <row r="26" spans="1:12" ht="26.25" customHeight="1">
      <c r="A26" s="99" t="s">
        <v>5</v>
      </c>
      <c r="B26" s="102" t="s">
        <v>21</v>
      </c>
      <c r="C26" s="84" t="s">
        <v>54</v>
      </c>
      <c r="D26" s="103">
        <v>11.22</v>
      </c>
      <c r="E26" s="103">
        <f>D26/D45*E45</f>
        <v>4.9081555187447385</v>
      </c>
      <c r="F26" s="103">
        <f>E26/E45*F45</f>
        <v>5.6425576433993205</v>
      </c>
      <c r="G26" s="103">
        <f>F26/F45*G45</f>
        <v>0.6692868378559407</v>
      </c>
      <c r="H26" s="103">
        <v>11.22</v>
      </c>
      <c r="I26" s="103">
        <f>H26/H45*I45</f>
        <v>4.9081555187447385</v>
      </c>
      <c r="J26" s="103">
        <f>I26/I45*J45</f>
        <v>5.6425576433993205</v>
      </c>
      <c r="K26" s="103">
        <f>J26/J45*K45</f>
        <v>0.6692868378559407</v>
      </c>
      <c r="L26" s="116">
        <f>ДОДАТОК1!D29+ДОДАТОК2!D31+'ДОДАТОК 3'!D26</f>
        <v>2368.3599999999997</v>
      </c>
    </row>
    <row r="27" spans="1:12" ht="27" customHeight="1">
      <c r="A27" s="99" t="s">
        <v>6</v>
      </c>
      <c r="B27" s="101" t="s">
        <v>172</v>
      </c>
      <c r="C27" s="84" t="s">
        <v>54</v>
      </c>
      <c r="D27" s="103">
        <v>2.31</v>
      </c>
      <c r="E27" s="103">
        <f>D27/D45*E45</f>
        <v>1.0105026068003873</v>
      </c>
      <c r="F27" s="103">
        <f>E27/E45*F45</f>
        <v>1.161703044229272</v>
      </c>
      <c r="G27" s="103">
        <f>F27/F45*G45</f>
        <v>0.13779434897034074</v>
      </c>
      <c r="H27" s="103">
        <v>2.31</v>
      </c>
      <c r="I27" s="103">
        <f>H27/H45*I45</f>
        <v>1.0105026068003873</v>
      </c>
      <c r="J27" s="103">
        <f>I27/I45*J45</f>
        <v>1.161703044229272</v>
      </c>
      <c r="K27" s="103">
        <f>J27/J45*K45</f>
        <v>0.13779434897034074</v>
      </c>
      <c r="L27" s="116">
        <f>ДОДАТОК1!D30+ДОДАТОК2!D32+'ДОДАТОК 3'!D27</f>
        <v>487.69</v>
      </c>
    </row>
    <row r="28" spans="1:12" ht="23.25" customHeight="1">
      <c r="A28" s="99" t="s">
        <v>36</v>
      </c>
      <c r="B28" s="102" t="s">
        <v>22</v>
      </c>
      <c r="C28" s="84" t="s">
        <v>54</v>
      </c>
      <c r="D28" s="103">
        <v>1.63</v>
      </c>
      <c r="E28" s="103">
        <f>D28/D45*E45</f>
        <v>0.7130386359673727</v>
      </c>
      <c r="F28" s="103">
        <f>E28/E45*F45</f>
        <v>0.819729853720222</v>
      </c>
      <c r="G28" s="103">
        <f>F28/F45*G45</f>
        <v>0.0972315103124049</v>
      </c>
      <c r="H28" s="103">
        <v>1.63</v>
      </c>
      <c r="I28" s="103">
        <f>H28/H45*I45</f>
        <v>0.7130386359673727</v>
      </c>
      <c r="J28" s="103">
        <f>I28/I45*J45</f>
        <v>0.819729853720222</v>
      </c>
      <c r="K28" s="103">
        <f>J28/J45*K45</f>
        <v>0.0972315103124049</v>
      </c>
      <c r="L28" s="116">
        <f>ДОДАТОК1!D31+ДОДАТОК2!D33+'ДОДАТОК 3'!D28</f>
        <v>343.3</v>
      </c>
    </row>
    <row r="29" spans="1:12" ht="25.5" customHeight="1">
      <c r="A29" s="99" t="s">
        <v>7</v>
      </c>
      <c r="B29" s="102" t="s">
        <v>187</v>
      </c>
      <c r="C29" s="84" t="s">
        <v>54</v>
      </c>
      <c r="D29" s="103">
        <f aca="true" t="shared" si="5" ref="D29:K29">D30+D31+D32</f>
        <v>0</v>
      </c>
      <c r="E29" s="103">
        <f t="shared" si="5"/>
        <v>0</v>
      </c>
      <c r="F29" s="103">
        <f t="shared" si="5"/>
        <v>0</v>
      </c>
      <c r="G29" s="103">
        <f t="shared" si="5"/>
        <v>0</v>
      </c>
      <c r="H29" s="103">
        <f t="shared" si="5"/>
        <v>0</v>
      </c>
      <c r="I29" s="103">
        <f t="shared" si="5"/>
        <v>0</v>
      </c>
      <c r="J29" s="103">
        <f t="shared" si="5"/>
        <v>0</v>
      </c>
      <c r="K29" s="103">
        <f t="shared" si="5"/>
        <v>0</v>
      </c>
      <c r="L29" s="132">
        <f>L15+L16+L17+L21+L25</f>
        <v>114058.98000000001</v>
      </c>
    </row>
    <row r="30" spans="1:11" ht="25.5" customHeight="1">
      <c r="A30" s="99" t="s">
        <v>37</v>
      </c>
      <c r="B30" s="102" t="s">
        <v>21</v>
      </c>
      <c r="C30" s="84" t="s">
        <v>54</v>
      </c>
      <c r="D30" s="103">
        <v>0</v>
      </c>
      <c r="E30" s="103">
        <v>0</v>
      </c>
      <c r="F30" s="103">
        <v>0</v>
      </c>
      <c r="G30" s="103">
        <v>0</v>
      </c>
      <c r="H30" s="103">
        <v>0</v>
      </c>
      <c r="I30" s="103">
        <v>0</v>
      </c>
      <c r="J30" s="103">
        <v>0</v>
      </c>
      <c r="K30" s="103">
        <v>0</v>
      </c>
    </row>
    <row r="31" spans="1:11" ht="25.5" customHeight="1">
      <c r="A31" s="99" t="s">
        <v>38</v>
      </c>
      <c r="B31" s="101" t="s">
        <v>172</v>
      </c>
      <c r="C31" s="84" t="s">
        <v>54</v>
      </c>
      <c r="D31" s="103">
        <v>0</v>
      </c>
      <c r="E31" s="103">
        <v>0</v>
      </c>
      <c r="F31" s="103">
        <v>0</v>
      </c>
      <c r="G31" s="103">
        <v>0</v>
      </c>
      <c r="H31" s="103">
        <v>0</v>
      </c>
      <c r="I31" s="103">
        <v>0</v>
      </c>
      <c r="J31" s="103">
        <v>0</v>
      </c>
      <c r="K31" s="103">
        <v>0</v>
      </c>
    </row>
    <row r="32" spans="1:11" ht="25.5" customHeight="1">
      <c r="A32" s="99" t="s">
        <v>163</v>
      </c>
      <c r="B32" s="102" t="s">
        <v>22</v>
      </c>
      <c r="C32" s="84" t="s">
        <v>54</v>
      </c>
      <c r="D32" s="103">
        <v>0</v>
      </c>
      <c r="E32" s="103">
        <v>0</v>
      </c>
      <c r="F32" s="103">
        <v>0</v>
      </c>
      <c r="G32" s="103">
        <v>0</v>
      </c>
      <c r="H32" s="103">
        <v>0</v>
      </c>
      <c r="I32" s="103">
        <v>0</v>
      </c>
      <c r="J32" s="103">
        <v>0</v>
      </c>
      <c r="K32" s="103">
        <v>0</v>
      </c>
    </row>
    <row r="33" spans="1:11" ht="27" customHeight="1">
      <c r="A33" s="99" t="s">
        <v>8</v>
      </c>
      <c r="B33" s="102" t="s">
        <v>89</v>
      </c>
      <c r="C33" s="84" t="s">
        <v>54</v>
      </c>
      <c r="D33" s="98">
        <v>0</v>
      </c>
      <c r="E33" s="98">
        <v>0</v>
      </c>
      <c r="F33" s="98">
        <v>0</v>
      </c>
      <c r="G33" s="98">
        <v>0</v>
      </c>
      <c r="H33" s="98">
        <v>0</v>
      </c>
      <c r="I33" s="98">
        <v>0</v>
      </c>
      <c r="J33" s="98">
        <v>0</v>
      </c>
      <c r="K33" s="98">
        <v>0</v>
      </c>
    </row>
    <row r="34" spans="1:11" ht="25.5" customHeight="1">
      <c r="A34" s="99" t="s">
        <v>10</v>
      </c>
      <c r="B34" s="102" t="s">
        <v>39</v>
      </c>
      <c r="C34" s="84" t="s">
        <v>54</v>
      </c>
      <c r="D34" s="103">
        <v>0</v>
      </c>
      <c r="E34" s="103">
        <v>0</v>
      </c>
      <c r="F34" s="103">
        <v>0</v>
      </c>
      <c r="G34" s="103">
        <v>0</v>
      </c>
      <c r="H34" s="103">
        <v>0</v>
      </c>
      <c r="I34" s="103">
        <v>0</v>
      </c>
      <c r="J34" s="103">
        <v>0</v>
      </c>
      <c r="K34" s="103">
        <v>0</v>
      </c>
    </row>
    <row r="35" spans="1:11" ht="27.75" customHeight="1">
      <c r="A35" s="104" t="s">
        <v>13</v>
      </c>
      <c r="B35" s="105" t="s">
        <v>90</v>
      </c>
      <c r="C35" s="84" t="s">
        <v>54</v>
      </c>
      <c r="D35" s="128">
        <f aca="true" t="shared" si="6" ref="D35:K35">ROUND(D13+D25,2)</f>
        <v>415.99</v>
      </c>
      <c r="E35" s="128">
        <f t="shared" si="6"/>
        <v>181.97</v>
      </c>
      <c r="F35" s="128">
        <f t="shared" si="6"/>
        <v>209.2</v>
      </c>
      <c r="G35" s="128">
        <f t="shared" si="6"/>
        <v>24.81</v>
      </c>
      <c r="H35" s="128">
        <f t="shared" si="6"/>
        <v>415.99</v>
      </c>
      <c r="I35" s="128">
        <f t="shared" si="6"/>
        <v>181.97</v>
      </c>
      <c r="J35" s="128">
        <f t="shared" si="6"/>
        <v>209.2</v>
      </c>
      <c r="K35" s="128">
        <f t="shared" si="6"/>
        <v>24.81</v>
      </c>
    </row>
    <row r="36" spans="1:11" ht="27.75" customHeight="1">
      <c r="A36" s="104" t="s">
        <v>45</v>
      </c>
      <c r="B36" s="105" t="s">
        <v>127</v>
      </c>
      <c r="C36" s="84" t="s">
        <v>54</v>
      </c>
      <c r="D36" s="103">
        <v>0</v>
      </c>
      <c r="E36" s="103">
        <v>0</v>
      </c>
      <c r="F36" s="103">
        <v>0</v>
      </c>
      <c r="G36" s="103">
        <v>0</v>
      </c>
      <c r="H36" s="103">
        <v>0</v>
      </c>
      <c r="I36" s="103">
        <v>0</v>
      </c>
      <c r="J36" s="103">
        <v>0</v>
      </c>
      <c r="K36" s="103">
        <v>0</v>
      </c>
    </row>
    <row r="37" spans="1:11" ht="42.75" customHeight="1">
      <c r="A37" s="104" t="s">
        <v>48</v>
      </c>
      <c r="B37" s="105" t="s">
        <v>176</v>
      </c>
      <c r="C37" s="84" t="s">
        <v>54</v>
      </c>
      <c r="D37" s="103">
        <f aca="true" t="shared" si="7" ref="D37:K37">ROUND((D41+D42)/((100-18)/100),2)</f>
        <v>10.15</v>
      </c>
      <c r="E37" s="103">
        <f t="shared" si="7"/>
        <v>4.44</v>
      </c>
      <c r="F37" s="103">
        <f t="shared" si="7"/>
        <v>5.1</v>
      </c>
      <c r="G37" s="103">
        <f t="shared" si="7"/>
        <v>0.61</v>
      </c>
      <c r="H37" s="103">
        <f t="shared" si="7"/>
        <v>10.15</v>
      </c>
      <c r="I37" s="103">
        <f t="shared" si="7"/>
        <v>4.44</v>
      </c>
      <c r="J37" s="103">
        <f t="shared" si="7"/>
        <v>5.1</v>
      </c>
      <c r="K37" s="103">
        <f t="shared" si="7"/>
        <v>0.61</v>
      </c>
    </row>
    <row r="38" spans="1:11" ht="27" customHeight="1">
      <c r="A38" s="99" t="s">
        <v>73</v>
      </c>
      <c r="B38" s="102" t="s">
        <v>40</v>
      </c>
      <c r="C38" s="84" t="s">
        <v>54</v>
      </c>
      <c r="D38" s="103">
        <f aca="true" t="shared" si="8" ref="D38:K38">ROUND(D37*0.18,2)</f>
        <v>1.83</v>
      </c>
      <c r="E38" s="103">
        <f t="shared" si="8"/>
        <v>0.8</v>
      </c>
      <c r="F38" s="103">
        <f t="shared" si="8"/>
        <v>0.92</v>
      </c>
      <c r="G38" s="103">
        <f t="shared" si="8"/>
        <v>0.11</v>
      </c>
      <c r="H38" s="103">
        <f t="shared" si="8"/>
        <v>1.83</v>
      </c>
      <c r="I38" s="103">
        <f t="shared" si="8"/>
        <v>0.8</v>
      </c>
      <c r="J38" s="103">
        <f t="shared" si="8"/>
        <v>0.92</v>
      </c>
      <c r="K38" s="103">
        <f t="shared" si="8"/>
        <v>0.11</v>
      </c>
    </row>
    <row r="39" spans="1:11" ht="30" customHeight="1">
      <c r="A39" s="99" t="s">
        <v>75</v>
      </c>
      <c r="B39" s="102" t="s">
        <v>96</v>
      </c>
      <c r="C39" s="84" t="s">
        <v>54</v>
      </c>
      <c r="D39" s="103">
        <v>0</v>
      </c>
      <c r="E39" s="103">
        <v>0</v>
      </c>
      <c r="F39" s="103">
        <v>0</v>
      </c>
      <c r="G39" s="103">
        <v>0</v>
      </c>
      <c r="H39" s="103">
        <v>0</v>
      </c>
      <c r="I39" s="103">
        <v>0</v>
      </c>
      <c r="J39" s="103">
        <v>0</v>
      </c>
      <c r="K39" s="103">
        <v>0</v>
      </c>
    </row>
    <row r="40" spans="1:11" ht="27.75" customHeight="1">
      <c r="A40" s="99" t="s">
        <v>77</v>
      </c>
      <c r="B40" s="102" t="s">
        <v>41</v>
      </c>
      <c r="C40" s="84" t="s">
        <v>54</v>
      </c>
      <c r="D40" s="103">
        <v>0</v>
      </c>
      <c r="E40" s="103">
        <v>0</v>
      </c>
      <c r="F40" s="103">
        <v>0</v>
      </c>
      <c r="G40" s="103">
        <v>0</v>
      </c>
      <c r="H40" s="103">
        <v>0</v>
      </c>
      <c r="I40" s="103">
        <v>0</v>
      </c>
      <c r="J40" s="103">
        <v>0</v>
      </c>
      <c r="K40" s="103">
        <v>0</v>
      </c>
    </row>
    <row r="41" spans="1:11" ht="42" customHeight="1">
      <c r="A41" s="99" t="s">
        <v>79</v>
      </c>
      <c r="B41" s="102" t="s">
        <v>66</v>
      </c>
      <c r="C41" s="84" t="s">
        <v>54</v>
      </c>
      <c r="D41" s="143">
        <v>0</v>
      </c>
      <c r="E41" s="103">
        <f>D41/D45*E45</f>
        <v>0</v>
      </c>
      <c r="F41" s="103">
        <f>E41/E45*F45</f>
        <v>0</v>
      </c>
      <c r="G41" s="103">
        <f>F41/F45*G45</f>
        <v>0</v>
      </c>
      <c r="H41" s="143">
        <v>0</v>
      </c>
      <c r="I41" s="103">
        <f>H41/H45*I45</f>
        <v>0</v>
      </c>
      <c r="J41" s="103">
        <f>I41/I45*J45</f>
        <v>0</v>
      </c>
      <c r="K41" s="103">
        <f>J41/J45*K45</f>
        <v>0</v>
      </c>
    </row>
    <row r="42" spans="1:11" ht="27.75" customHeight="1">
      <c r="A42" s="99" t="s">
        <v>178</v>
      </c>
      <c r="B42" s="102" t="s">
        <v>67</v>
      </c>
      <c r="C42" s="84" t="s">
        <v>54</v>
      </c>
      <c r="D42" s="103">
        <f aca="true" t="shared" si="9" ref="D42:K42">D35*0.02</f>
        <v>8.3198</v>
      </c>
      <c r="E42" s="103">
        <f t="shared" si="9"/>
        <v>3.6394</v>
      </c>
      <c r="F42" s="103">
        <f t="shared" si="9"/>
        <v>4.184</v>
      </c>
      <c r="G42" s="103">
        <f t="shared" si="9"/>
        <v>0.4962</v>
      </c>
      <c r="H42" s="103">
        <f t="shared" si="9"/>
        <v>8.3198</v>
      </c>
      <c r="I42" s="103">
        <f>I35*0.02</f>
        <v>3.6394</v>
      </c>
      <c r="J42" s="103">
        <f t="shared" si="9"/>
        <v>4.184</v>
      </c>
      <c r="K42" s="103">
        <f t="shared" si="9"/>
        <v>0.4962</v>
      </c>
    </row>
    <row r="43" spans="1:11" ht="45.75" customHeight="1">
      <c r="A43" s="106" t="s">
        <v>49</v>
      </c>
      <c r="B43" s="105" t="s">
        <v>81</v>
      </c>
      <c r="C43" s="84" t="s">
        <v>54</v>
      </c>
      <c r="D43" s="103">
        <f aca="true" t="shared" si="10" ref="D43:K43">ROUND(D35+D36+D37,2)</f>
        <v>426.14</v>
      </c>
      <c r="E43" s="103">
        <f t="shared" si="10"/>
        <v>186.41</v>
      </c>
      <c r="F43" s="103">
        <f t="shared" si="10"/>
        <v>214.3</v>
      </c>
      <c r="G43" s="103">
        <f t="shared" si="10"/>
        <v>25.42</v>
      </c>
      <c r="H43" s="103">
        <f t="shared" si="10"/>
        <v>426.14</v>
      </c>
      <c r="I43" s="103">
        <f t="shared" si="10"/>
        <v>186.41</v>
      </c>
      <c r="J43" s="103">
        <f t="shared" si="10"/>
        <v>214.3</v>
      </c>
      <c r="K43" s="103">
        <f t="shared" si="10"/>
        <v>25.42</v>
      </c>
    </row>
    <row r="44" spans="1:11" ht="47.25" customHeight="1">
      <c r="A44" s="106" t="s">
        <v>50</v>
      </c>
      <c r="B44" s="105" t="s">
        <v>82</v>
      </c>
      <c r="C44" s="84" t="s">
        <v>55</v>
      </c>
      <c r="D44" s="128">
        <f aca="true" t="shared" si="11" ref="D44:K44">ROUND((D43/D45)*1000,2)</f>
        <v>8.98</v>
      </c>
      <c r="E44" s="128">
        <f t="shared" si="11"/>
        <v>8.98</v>
      </c>
      <c r="F44" s="128">
        <f t="shared" si="11"/>
        <v>8.98</v>
      </c>
      <c r="G44" s="128">
        <f t="shared" si="11"/>
        <v>8.98</v>
      </c>
      <c r="H44" s="128">
        <f t="shared" si="11"/>
        <v>8.98</v>
      </c>
      <c r="I44" s="128">
        <f t="shared" si="11"/>
        <v>8.98</v>
      </c>
      <c r="J44" s="128">
        <f t="shared" si="11"/>
        <v>8.98</v>
      </c>
      <c r="K44" s="128">
        <f t="shared" si="11"/>
        <v>8.98</v>
      </c>
    </row>
    <row r="45" spans="1:11" ht="67.5" customHeight="1">
      <c r="A45" s="99" t="s">
        <v>51</v>
      </c>
      <c r="B45" s="107" t="s">
        <v>155</v>
      </c>
      <c r="C45" s="84" t="s">
        <v>56</v>
      </c>
      <c r="D45" s="126">
        <f>E45+F45+G45</f>
        <v>47431.71000000001</v>
      </c>
      <c r="E45" s="120">
        <v>20748.86</v>
      </c>
      <c r="F45" s="120">
        <v>23853.49</v>
      </c>
      <c r="G45" s="136">
        <v>2829.36</v>
      </c>
      <c r="H45" s="126">
        <f>I45+J45+K45</f>
        <v>47431.71000000001</v>
      </c>
      <c r="I45" s="120">
        <v>20748.86</v>
      </c>
      <c r="J45" s="120">
        <v>23853.49</v>
      </c>
      <c r="K45" s="136">
        <v>2829.36</v>
      </c>
    </row>
    <row r="46" spans="1:11" ht="27.75" customHeight="1">
      <c r="A46" s="99" t="s">
        <v>99</v>
      </c>
      <c r="B46" s="107" t="s">
        <v>148</v>
      </c>
      <c r="C46" s="84" t="s">
        <v>56</v>
      </c>
      <c r="D46" s="141" t="s">
        <v>177</v>
      </c>
      <c r="E46" s="141" t="s">
        <v>177</v>
      </c>
      <c r="F46" s="141" t="s">
        <v>177</v>
      </c>
      <c r="G46" s="141" t="s">
        <v>177</v>
      </c>
      <c r="H46" s="141" t="s">
        <v>177</v>
      </c>
      <c r="I46" s="141" t="s">
        <v>177</v>
      </c>
      <c r="J46" s="141" t="s">
        <v>177</v>
      </c>
      <c r="K46" s="141" t="s">
        <v>177</v>
      </c>
    </row>
    <row r="47" spans="1:11" ht="30.75" customHeight="1">
      <c r="A47" s="99" t="s">
        <v>100</v>
      </c>
      <c r="B47" s="107" t="s">
        <v>150</v>
      </c>
      <c r="C47" s="84" t="s">
        <v>56</v>
      </c>
      <c r="D47" s="141" t="s">
        <v>177</v>
      </c>
      <c r="E47" s="141" t="s">
        <v>177</v>
      </c>
      <c r="F47" s="141" t="s">
        <v>177</v>
      </c>
      <c r="G47" s="141" t="s">
        <v>177</v>
      </c>
      <c r="H47" s="141" t="s">
        <v>177</v>
      </c>
      <c r="I47" s="141" t="s">
        <v>177</v>
      </c>
      <c r="J47" s="141" t="s">
        <v>177</v>
      </c>
      <c r="K47" s="141" t="s">
        <v>177</v>
      </c>
    </row>
    <row r="48" spans="1:11" ht="24" customHeight="1">
      <c r="A48" s="99" t="s">
        <v>188</v>
      </c>
      <c r="B48" s="142" t="s">
        <v>152</v>
      </c>
      <c r="C48" s="84" t="s">
        <v>56</v>
      </c>
      <c r="D48" s="141" t="s">
        <v>177</v>
      </c>
      <c r="E48" s="141" t="s">
        <v>177</v>
      </c>
      <c r="F48" s="141" t="s">
        <v>177</v>
      </c>
      <c r="G48" s="141" t="s">
        <v>177</v>
      </c>
      <c r="H48" s="141" t="s">
        <v>177</v>
      </c>
      <c r="I48" s="141" t="s">
        <v>177</v>
      </c>
      <c r="J48" s="141" t="s">
        <v>177</v>
      </c>
      <c r="K48" s="141" t="s">
        <v>177</v>
      </c>
    </row>
    <row r="49" spans="1:11" ht="0.75" customHeight="1">
      <c r="A49" s="139" t="s">
        <v>52</v>
      </c>
      <c r="B49" s="138" t="s">
        <v>217</v>
      </c>
      <c r="C49" s="95" t="s">
        <v>55</v>
      </c>
      <c r="D49" s="140">
        <f aca="true" t="shared" si="12" ref="D49:K49">D35/D45*1000</f>
        <v>8.770293122470179</v>
      </c>
      <c r="E49" s="140">
        <f t="shared" si="12"/>
        <v>8.770120382517401</v>
      </c>
      <c r="F49" s="140">
        <f t="shared" si="12"/>
        <v>8.770205114639408</v>
      </c>
      <c r="G49" s="140">
        <f t="shared" si="12"/>
        <v>8.768767495122571</v>
      </c>
      <c r="H49" s="140">
        <f t="shared" si="12"/>
        <v>8.770293122470179</v>
      </c>
      <c r="I49" s="140">
        <f t="shared" si="12"/>
        <v>8.770120382517401</v>
      </c>
      <c r="J49" s="140">
        <f t="shared" si="12"/>
        <v>8.770205114639408</v>
      </c>
      <c r="K49" s="140">
        <f t="shared" si="12"/>
        <v>8.768767495122571</v>
      </c>
    </row>
    <row r="50" spans="1:11" ht="36" customHeight="1">
      <c r="A50" s="234" t="s">
        <v>203</v>
      </c>
      <c r="B50" s="178"/>
      <c r="C50" s="178"/>
      <c r="D50" s="178"/>
      <c r="E50" s="178"/>
      <c r="F50" s="178"/>
      <c r="G50" s="178"/>
      <c r="H50" s="178"/>
      <c r="I50" s="178"/>
      <c r="J50" s="178"/>
      <c r="K50" s="178"/>
    </row>
    <row r="51" spans="1:11" ht="12.75">
      <c r="A51" s="173"/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23.25">
      <c r="A52" s="78"/>
      <c r="B52" s="77"/>
      <c r="C52" s="79"/>
      <c r="D52" s="8"/>
      <c r="E52" s="8"/>
      <c r="F52" s="8"/>
      <c r="G52" s="8"/>
      <c r="H52" s="8"/>
      <c r="I52" s="8"/>
      <c r="J52" s="8"/>
      <c r="K52" s="8"/>
    </row>
    <row r="53" spans="1:11" ht="18">
      <c r="A53" s="10"/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11" ht="18">
      <c r="A54" s="10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 ht="18">
      <c r="A55" s="9"/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1:11" ht="12.75">
      <c r="A56" s="3"/>
      <c r="B56" s="4"/>
      <c r="C56" s="4"/>
      <c r="D56" s="5"/>
      <c r="E56" s="5"/>
      <c r="F56" s="5"/>
      <c r="G56" s="5"/>
      <c r="H56" s="5"/>
      <c r="I56" s="5"/>
      <c r="J56" s="5"/>
      <c r="K56" s="5"/>
    </row>
    <row r="57" spans="1:11" ht="12.75">
      <c r="A57" s="3"/>
      <c r="B57" s="4"/>
      <c r="C57" s="4"/>
      <c r="D57" s="5"/>
      <c r="E57" s="5"/>
      <c r="F57" s="5"/>
      <c r="G57" s="5"/>
      <c r="H57" s="5"/>
      <c r="I57" s="5"/>
      <c r="J57" s="5"/>
      <c r="K57" s="5"/>
    </row>
    <row r="58" spans="1:11" ht="12.75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12.75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</row>
  </sheetData>
  <sheetProtection/>
  <mergeCells count="24">
    <mergeCell ref="A1:C1"/>
    <mergeCell ref="A2:B2"/>
    <mergeCell ref="A10:A11"/>
    <mergeCell ref="D3:G3"/>
    <mergeCell ref="B10:B11"/>
    <mergeCell ref="C10:C11"/>
    <mergeCell ref="D10:D11"/>
    <mergeCell ref="E10:E11"/>
    <mergeCell ref="A50:K51"/>
    <mergeCell ref="A6:K6"/>
    <mergeCell ref="A7:K7"/>
    <mergeCell ref="I9:K9"/>
    <mergeCell ref="H10:H11"/>
    <mergeCell ref="I10:I11"/>
    <mergeCell ref="G10:G11"/>
    <mergeCell ref="E9:G9"/>
    <mergeCell ref="F10:F11"/>
    <mergeCell ref="H2:K2"/>
    <mergeCell ref="J10:J11"/>
    <mergeCell ref="K10:K11"/>
    <mergeCell ref="I4:K4"/>
    <mergeCell ref="D1:G1"/>
    <mergeCell ref="D2:G2"/>
    <mergeCell ref="D4:G4"/>
  </mergeCells>
  <printOptions/>
  <pageMargins left="0.86" right="0.7480314960629921" top="0.984251968503937" bottom="0.984251968503937" header="0.5118110236220472" footer="0.5118110236220472"/>
  <pageSetup horizontalDpi="600" verticalDpi="600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6"/>
  <sheetViews>
    <sheetView view="pageBreakPreview" zoomScale="75" zoomScaleNormal="60" zoomScaleSheetLayoutView="75" zoomScalePageLayoutView="0" workbookViewId="0" topLeftCell="A22">
      <selection activeCell="D32" sqref="D32"/>
    </sheetView>
  </sheetViews>
  <sheetFormatPr defaultColWidth="9.00390625" defaultRowHeight="12.75"/>
  <cols>
    <col min="1" max="1" width="11.00390625" style="2" customWidth="1"/>
    <col min="2" max="2" width="74.375" style="2" customWidth="1"/>
    <col min="3" max="3" width="18.125" style="2" customWidth="1"/>
    <col min="4" max="4" width="22.625" style="2" customWidth="1"/>
    <col min="5" max="5" width="19.625" style="2" customWidth="1"/>
    <col min="6" max="6" width="19.25390625" style="2" customWidth="1"/>
    <col min="7" max="7" width="18.00390625" style="2" customWidth="1"/>
    <col min="8" max="16384" width="9.125" style="2" customWidth="1"/>
  </cols>
  <sheetData>
    <row r="1" spans="1:7" ht="42.75" customHeight="1">
      <c r="A1" s="243" t="s">
        <v>206</v>
      </c>
      <c r="B1" s="243"/>
      <c r="C1" s="244"/>
      <c r="D1" s="56"/>
      <c r="E1" s="252" t="s">
        <v>102</v>
      </c>
      <c r="F1" s="252"/>
      <c r="G1" s="252"/>
    </row>
    <row r="2" spans="1:7" ht="26.25" customHeight="1">
      <c r="A2" s="245" t="s">
        <v>86</v>
      </c>
      <c r="B2" s="245"/>
      <c r="C2" s="57"/>
      <c r="D2" s="259" t="s">
        <v>179</v>
      </c>
      <c r="E2" s="173"/>
      <c r="F2" s="173"/>
      <c r="G2" s="173"/>
    </row>
    <row r="3" spans="1:7" ht="20.25">
      <c r="A3" s="8"/>
      <c r="B3" s="8"/>
      <c r="C3" s="8"/>
      <c r="D3" s="8"/>
      <c r="E3" s="51"/>
      <c r="F3" s="260" t="s">
        <v>219</v>
      </c>
      <c r="G3" s="260"/>
    </row>
    <row r="4" spans="1:7" ht="20.25">
      <c r="A4" s="8"/>
      <c r="B4" s="8"/>
      <c r="C4" s="8"/>
      <c r="D4" s="8"/>
      <c r="E4" s="253" t="s">
        <v>189</v>
      </c>
      <c r="F4" s="253"/>
      <c r="G4" s="253"/>
    </row>
    <row r="5" spans="1:7" ht="18">
      <c r="A5" s="8"/>
      <c r="B5" s="8"/>
      <c r="C5" s="8"/>
      <c r="D5" s="8"/>
      <c r="E5" s="8"/>
      <c r="F5" s="8"/>
      <c r="G5" s="8"/>
    </row>
    <row r="6" spans="1:7" ht="30.75" customHeight="1">
      <c r="A6" s="256" t="s">
        <v>64</v>
      </c>
      <c r="B6" s="227"/>
      <c r="C6" s="227"/>
      <c r="D6" s="227"/>
      <c r="E6" s="227"/>
      <c r="F6" s="227"/>
      <c r="G6" s="227"/>
    </row>
    <row r="7" spans="1:7" ht="63" customHeight="1">
      <c r="A7" s="257" t="s">
        <v>266</v>
      </c>
      <c r="B7" s="257"/>
      <c r="C7" s="257"/>
      <c r="D7" s="257"/>
      <c r="E7" s="257"/>
      <c r="F7" s="258"/>
      <c r="G7" s="258"/>
    </row>
    <row r="8" spans="1:7" ht="25.5" customHeight="1">
      <c r="A8" s="34"/>
      <c r="B8" s="34"/>
      <c r="C8" s="34"/>
      <c r="D8" s="34"/>
      <c r="E8" s="34"/>
      <c r="F8" s="108"/>
      <c r="G8" s="108"/>
    </row>
    <row r="9" spans="1:7" ht="18.75">
      <c r="A9" s="47"/>
      <c r="B9" s="47"/>
      <c r="C9" s="47"/>
      <c r="D9" s="47"/>
      <c r="E9" s="47"/>
      <c r="F9" s="47"/>
      <c r="G9" s="47"/>
    </row>
    <row r="10" spans="1:7" ht="20.25">
      <c r="A10" s="47"/>
      <c r="B10" s="47"/>
      <c r="C10" s="47"/>
      <c r="D10" s="47"/>
      <c r="E10" s="254" t="s">
        <v>137</v>
      </c>
      <c r="F10" s="255"/>
      <c r="G10" s="255"/>
    </row>
    <row r="11" spans="1:7" ht="29.25" customHeight="1">
      <c r="A11" s="231" t="s">
        <v>16</v>
      </c>
      <c r="B11" s="231" t="s">
        <v>58</v>
      </c>
      <c r="C11" s="231" t="s">
        <v>120</v>
      </c>
      <c r="D11" s="231" t="s">
        <v>18</v>
      </c>
      <c r="E11" s="251" t="s">
        <v>156</v>
      </c>
      <c r="F11" s="251"/>
      <c r="G11" s="251"/>
    </row>
    <row r="12" spans="1:7" ht="59.25" customHeight="1">
      <c r="A12" s="231"/>
      <c r="B12" s="231"/>
      <c r="C12" s="231"/>
      <c r="D12" s="231"/>
      <c r="E12" s="82" t="s">
        <v>83</v>
      </c>
      <c r="F12" s="82" t="s">
        <v>0</v>
      </c>
      <c r="G12" s="82" t="s">
        <v>152</v>
      </c>
    </row>
    <row r="13" spans="1:7" ht="20.25">
      <c r="A13" s="84">
        <v>1</v>
      </c>
      <c r="B13" s="84">
        <v>2</v>
      </c>
      <c r="C13" s="84">
        <v>3</v>
      </c>
      <c r="D13" s="84">
        <v>4</v>
      </c>
      <c r="E13" s="84">
        <v>5</v>
      </c>
      <c r="F13" s="84">
        <v>6</v>
      </c>
      <c r="G13" s="84">
        <v>7</v>
      </c>
    </row>
    <row r="14" spans="1:7" ht="36" customHeight="1">
      <c r="A14" s="85" t="s">
        <v>1</v>
      </c>
      <c r="B14" s="87" t="s">
        <v>190</v>
      </c>
      <c r="C14" s="82" t="s">
        <v>55</v>
      </c>
      <c r="D14" s="129">
        <f>D15+D16+D17</f>
        <v>2066.96</v>
      </c>
      <c r="E14" s="129">
        <f>E15+E16+E17</f>
        <v>1399.05</v>
      </c>
      <c r="F14" s="129">
        <f>F15+F16+F17</f>
        <v>2425.95</v>
      </c>
      <c r="G14" s="129">
        <f>G15+G16+G17</f>
        <v>3938.38</v>
      </c>
    </row>
    <row r="15" spans="1:7" ht="39.75" customHeight="1">
      <c r="A15" s="85" t="s">
        <v>2</v>
      </c>
      <c r="B15" s="87" t="s">
        <v>159</v>
      </c>
      <c r="C15" s="82" t="s">
        <v>55</v>
      </c>
      <c r="D15" s="86">
        <v>2043.37</v>
      </c>
      <c r="E15" s="86">
        <v>1345.12</v>
      </c>
      <c r="F15" s="86">
        <v>2425.95</v>
      </c>
      <c r="G15" s="86">
        <v>3938.38</v>
      </c>
    </row>
    <row r="16" spans="1:7" ht="35.25" customHeight="1">
      <c r="A16" s="85" t="s">
        <v>3</v>
      </c>
      <c r="B16" s="87" t="s">
        <v>157</v>
      </c>
      <c r="C16" s="82" t="s">
        <v>54</v>
      </c>
      <c r="D16" s="127">
        <v>0</v>
      </c>
      <c r="E16" s="127">
        <v>0</v>
      </c>
      <c r="F16" s="127">
        <v>0</v>
      </c>
      <c r="G16" s="127">
        <v>0</v>
      </c>
    </row>
    <row r="17" spans="1:7" ht="35.25" customHeight="1">
      <c r="A17" s="85" t="s">
        <v>28</v>
      </c>
      <c r="B17" s="87" t="s">
        <v>158</v>
      </c>
      <c r="C17" s="82" t="s">
        <v>55</v>
      </c>
      <c r="D17" s="86">
        <v>23.59</v>
      </c>
      <c r="E17" s="86">
        <v>53.93</v>
      </c>
      <c r="F17" s="86">
        <v>0</v>
      </c>
      <c r="G17" s="86">
        <v>0</v>
      </c>
    </row>
    <row r="18" spans="1:7" ht="41.25" customHeight="1">
      <c r="A18" s="85" t="s">
        <v>4</v>
      </c>
      <c r="B18" s="87" t="s">
        <v>191</v>
      </c>
      <c r="C18" s="82" t="s">
        <v>55</v>
      </c>
      <c r="D18" s="129">
        <f>D19+D20+D21</f>
        <v>310.92</v>
      </c>
      <c r="E18" s="129">
        <f>E19+E20+E21</f>
        <v>255.6</v>
      </c>
      <c r="F18" s="129">
        <f>F19+F20+F21</f>
        <v>340.66</v>
      </c>
      <c r="G18" s="129">
        <f>G19+G20+G21</f>
        <v>465.95</v>
      </c>
    </row>
    <row r="19" spans="1:7" ht="57" customHeight="1">
      <c r="A19" s="85" t="s">
        <v>5</v>
      </c>
      <c r="B19" s="87" t="s">
        <v>160</v>
      </c>
      <c r="C19" s="82" t="s">
        <v>55</v>
      </c>
      <c r="D19" s="86">
        <v>297.55</v>
      </c>
      <c r="E19" s="86">
        <v>242.23</v>
      </c>
      <c r="F19" s="86">
        <v>327.29</v>
      </c>
      <c r="G19" s="86">
        <v>452.58</v>
      </c>
    </row>
    <row r="20" spans="1:7" ht="42.75" customHeight="1">
      <c r="A20" s="85" t="s">
        <v>6</v>
      </c>
      <c r="B20" s="87" t="s">
        <v>157</v>
      </c>
      <c r="C20" s="82" t="s">
        <v>54</v>
      </c>
      <c r="D20" s="86">
        <v>0</v>
      </c>
      <c r="E20" s="86">
        <v>0</v>
      </c>
      <c r="F20" s="86">
        <v>0</v>
      </c>
      <c r="G20" s="86">
        <v>0</v>
      </c>
    </row>
    <row r="21" spans="1:7" ht="38.25" customHeight="1">
      <c r="A21" s="85" t="s">
        <v>36</v>
      </c>
      <c r="B21" s="87" t="s">
        <v>158</v>
      </c>
      <c r="C21" s="82" t="s">
        <v>55</v>
      </c>
      <c r="D21" s="86">
        <v>13.37</v>
      </c>
      <c r="E21" s="86">
        <v>13.37</v>
      </c>
      <c r="F21" s="86">
        <v>13.37</v>
      </c>
      <c r="G21" s="86">
        <v>13.37</v>
      </c>
    </row>
    <row r="22" spans="1:7" ht="39" customHeight="1">
      <c r="A22" s="85" t="s">
        <v>7</v>
      </c>
      <c r="B22" s="87" t="s">
        <v>192</v>
      </c>
      <c r="C22" s="82" t="s">
        <v>55</v>
      </c>
      <c r="D22" s="129">
        <f>D23+D25</f>
        <v>8.98</v>
      </c>
      <c r="E22" s="129">
        <f>E23+E25</f>
        <v>8.98</v>
      </c>
      <c r="F22" s="129">
        <f>F23+F25</f>
        <v>8.98</v>
      </c>
      <c r="G22" s="129">
        <f>G23+G25</f>
        <v>8.98</v>
      </c>
    </row>
    <row r="23" spans="1:7" ht="42.75" customHeight="1">
      <c r="A23" s="85" t="s">
        <v>37</v>
      </c>
      <c r="B23" s="87" t="s">
        <v>162</v>
      </c>
      <c r="C23" s="82" t="s">
        <v>55</v>
      </c>
      <c r="D23" s="86">
        <v>8.77</v>
      </c>
      <c r="E23" s="86">
        <v>8.77</v>
      </c>
      <c r="F23" s="86">
        <v>8.77</v>
      </c>
      <c r="G23" s="86">
        <v>8.77</v>
      </c>
    </row>
    <row r="24" spans="1:7" ht="42.75" customHeight="1">
      <c r="A24" s="85" t="s">
        <v>38</v>
      </c>
      <c r="B24" s="87" t="s">
        <v>157</v>
      </c>
      <c r="C24" s="82" t="s">
        <v>54</v>
      </c>
      <c r="D24" s="86">
        <v>0</v>
      </c>
      <c r="E24" s="86">
        <v>0</v>
      </c>
      <c r="F24" s="86">
        <v>0</v>
      </c>
      <c r="G24" s="86">
        <v>0</v>
      </c>
    </row>
    <row r="25" spans="1:7" ht="36" customHeight="1">
      <c r="A25" s="85" t="s">
        <v>163</v>
      </c>
      <c r="B25" s="87" t="s">
        <v>158</v>
      </c>
      <c r="C25" s="82" t="s">
        <v>55</v>
      </c>
      <c r="D25" s="86">
        <v>0.21</v>
      </c>
      <c r="E25" s="86">
        <v>0.21</v>
      </c>
      <c r="F25" s="86">
        <v>0.21</v>
      </c>
      <c r="G25" s="86">
        <v>0.21</v>
      </c>
    </row>
    <row r="26" spans="1:7" ht="41.25" customHeight="1">
      <c r="A26" s="83">
        <v>4</v>
      </c>
      <c r="B26" s="87" t="s">
        <v>193</v>
      </c>
      <c r="C26" s="82" t="s">
        <v>55</v>
      </c>
      <c r="D26" s="129">
        <f>D27+D28+D29</f>
        <v>2386.86</v>
      </c>
      <c r="E26" s="129">
        <f>E27+E28+E29</f>
        <v>1663.6299999999999</v>
      </c>
      <c r="F26" s="129">
        <f>F27+F28+F29</f>
        <v>2775.5899999999997</v>
      </c>
      <c r="G26" s="129">
        <f>G27+G28+G29</f>
        <v>4413.31</v>
      </c>
    </row>
    <row r="27" spans="1:7" ht="41.25" customHeight="1">
      <c r="A27" s="88" t="s">
        <v>9</v>
      </c>
      <c r="B27" s="87" t="s">
        <v>161</v>
      </c>
      <c r="C27" s="82" t="s">
        <v>55</v>
      </c>
      <c r="D27" s="86">
        <f>D15+D19+D23</f>
        <v>2349.69</v>
      </c>
      <c r="E27" s="86">
        <f>E15+E19+E23</f>
        <v>1596.12</v>
      </c>
      <c r="F27" s="86">
        <f>F15+F19+F23</f>
        <v>2762.0099999999998</v>
      </c>
      <c r="G27" s="86">
        <f>G15+G19+G23</f>
        <v>4399.7300000000005</v>
      </c>
    </row>
    <row r="28" spans="1:7" ht="41.25" customHeight="1">
      <c r="A28" s="88" t="s">
        <v>59</v>
      </c>
      <c r="B28" s="87" t="s">
        <v>157</v>
      </c>
      <c r="C28" s="82" t="s">
        <v>54</v>
      </c>
      <c r="D28" s="86">
        <v>0</v>
      </c>
      <c r="E28" s="86">
        <v>0</v>
      </c>
      <c r="F28" s="86">
        <v>0</v>
      </c>
      <c r="G28" s="86">
        <v>0</v>
      </c>
    </row>
    <row r="29" spans="1:7" ht="35.25" customHeight="1">
      <c r="A29" s="88" t="s">
        <v>164</v>
      </c>
      <c r="B29" s="87" t="s">
        <v>158</v>
      </c>
      <c r="C29" s="82" t="s">
        <v>55</v>
      </c>
      <c r="D29" s="86">
        <f>D17+D21+D25</f>
        <v>37.17</v>
      </c>
      <c r="E29" s="86">
        <f>E17+E21+E25</f>
        <v>67.50999999999999</v>
      </c>
      <c r="F29" s="86">
        <f>F17+F21+F25</f>
        <v>13.58</v>
      </c>
      <c r="G29" s="86">
        <f>G17+G21+G25</f>
        <v>13.58</v>
      </c>
    </row>
    <row r="30" spans="1:7" ht="66" customHeight="1">
      <c r="A30" s="85">
        <v>5</v>
      </c>
      <c r="B30" s="87" t="s">
        <v>194</v>
      </c>
      <c r="C30" s="82" t="s">
        <v>54</v>
      </c>
      <c r="D30" s="86">
        <f>D31+D32+D33</f>
        <v>113212.85133060002</v>
      </c>
      <c r="E30" s="86">
        <f>E31+E32+E33</f>
        <v>34518.4259618</v>
      </c>
      <c r="F30" s="86">
        <f>F31+F32+F33</f>
        <v>66207.5083091</v>
      </c>
      <c r="G30" s="86">
        <f>G31+G32+G33</f>
        <v>12486.842781600002</v>
      </c>
    </row>
    <row r="31" spans="1:7" ht="57.75" customHeight="1">
      <c r="A31" s="85" t="s">
        <v>11</v>
      </c>
      <c r="B31" s="87" t="s">
        <v>165</v>
      </c>
      <c r="C31" s="82" t="s">
        <v>54</v>
      </c>
      <c r="D31" s="86">
        <f>D27*D38/1000</f>
        <v>111449.81466990002</v>
      </c>
      <c r="E31" s="86">
        <f>E27*E38/1000</f>
        <v>33117.6704232</v>
      </c>
      <c r="F31" s="86">
        <f>F27*F38/1000</f>
        <v>65883.5779149</v>
      </c>
      <c r="G31" s="86">
        <f>G27*G38/1000</f>
        <v>12448.420072800001</v>
      </c>
    </row>
    <row r="32" spans="1:7" ht="46.5" customHeight="1">
      <c r="A32" s="85" t="s">
        <v>12</v>
      </c>
      <c r="B32" s="87" t="s">
        <v>157</v>
      </c>
      <c r="C32" s="82" t="s">
        <v>54</v>
      </c>
      <c r="D32" s="86">
        <v>0</v>
      </c>
      <c r="E32" s="86">
        <v>0</v>
      </c>
      <c r="F32" s="86">
        <v>0</v>
      </c>
      <c r="G32" s="86">
        <v>0</v>
      </c>
    </row>
    <row r="33" spans="1:7" ht="56.25" customHeight="1">
      <c r="A33" s="85" t="s">
        <v>166</v>
      </c>
      <c r="B33" s="87" t="s">
        <v>167</v>
      </c>
      <c r="C33" s="82" t="s">
        <v>54</v>
      </c>
      <c r="D33" s="86">
        <f>D29*D38/1000</f>
        <v>1763.0366607000003</v>
      </c>
      <c r="E33" s="86">
        <f>E29*E38/1000</f>
        <v>1400.7555386</v>
      </c>
      <c r="F33" s="86">
        <f>F29*F38/1000</f>
        <v>323.9303942</v>
      </c>
      <c r="G33" s="86">
        <f>G29*G38/1000</f>
        <v>38.4227088</v>
      </c>
    </row>
    <row r="34" spans="1:7" ht="89.25" customHeight="1">
      <c r="A34" s="85">
        <v>6</v>
      </c>
      <c r="B34" s="87" t="s">
        <v>195</v>
      </c>
      <c r="C34" s="82" t="s">
        <v>54</v>
      </c>
      <c r="D34" s="86">
        <v>0</v>
      </c>
      <c r="E34" s="86">
        <v>0</v>
      </c>
      <c r="F34" s="86">
        <v>0</v>
      </c>
      <c r="G34" s="86">
        <v>0</v>
      </c>
    </row>
    <row r="35" spans="1:7" ht="55.5" customHeight="1">
      <c r="A35" s="85" t="s">
        <v>14</v>
      </c>
      <c r="B35" s="87" t="s">
        <v>165</v>
      </c>
      <c r="C35" s="82" t="s">
        <v>54</v>
      </c>
      <c r="D35" s="86">
        <v>0</v>
      </c>
      <c r="E35" s="86">
        <v>0</v>
      </c>
      <c r="F35" s="86">
        <v>0</v>
      </c>
      <c r="G35" s="86">
        <v>0</v>
      </c>
    </row>
    <row r="36" spans="1:7" ht="38.25" customHeight="1">
      <c r="A36" s="85" t="s">
        <v>15</v>
      </c>
      <c r="B36" s="87" t="s">
        <v>157</v>
      </c>
      <c r="C36" s="82" t="s">
        <v>54</v>
      </c>
      <c r="D36" s="86">
        <v>0</v>
      </c>
      <c r="E36" s="86">
        <v>0</v>
      </c>
      <c r="F36" s="86">
        <v>0</v>
      </c>
      <c r="G36" s="86">
        <v>0</v>
      </c>
    </row>
    <row r="37" spans="1:7" ht="57" customHeight="1">
      <c r="A37" s="85" t="s">
        <v>168</v>
      </c>
      <c r="B37" s="87" t="s">
        <v>167</v>
      </c>
      <c r="C37" s="82" t="s">
        <v>54</v>
      </c>
      <c r="D37" s="86">
        <v>0</v>
      </c>
      <c r="E37" s="86">
        <v>0</v>
      </c>
      <c r="F37" s="86">
        <v>0</v>
      </c>
      <c r="G37" s="86">
        <v>0</v>
      </c>
    </row>
    <row r="38" spans="1:7" ht="68.25" customHeight="1">
      <c r="A38" s="85">
        <v>7</v>
      </c>
      <c r="B38" s="87" t="s">
        <v>196</v>
      </c>
      <c r="C38" s="82" t="s">
        <v>56</v>
      </c>
      <c r="D38" s="127">
        <f>E38+F38+G38</f>
        <v>47431.71000000001</v>
      </c>
      <c r="E38" s="127">
        <v>20748.86</v>
      </c>
      <c r="F38" s="83">
        <v>23853.49</v>
      </c>
      <c r="G38" s="83">
        <v>2829.36</v>
      </c>
    </row>
    <row r="39" spans="1:7" ht="36" customHeight="1">
      <c r="A39" s="85" t="s">
        <v>46</v>
      </c>
      <c r="B39" s="87" t="s">
        <v>71</v>
      </c>
      <c r="C39" s="82" t="s">
        <v>56</v>
      </c>
      <c r="D39" s="127">
        <f>E39+F39+G39</f>
        <v>47431.71000000001</v>
      </c>
      <c r="E39" s="127">
        <v>20748.86</v>
      </c>
      <c r="F39" s="83">
        <v>23853.49</v>
      </c>
      <c r="G39" s="83">
        <v>2829.36</v>
      </c>
    </row>
    <row r="40" spans="1:7" ht="33" customHeight="1">
      <c r="A40" s="85" t="s">
        <v>47</v>
      </c>
      <c r="B40" s="87" t="s">
        <v>69</v>
      </c>
      <c r="C40" s="82" t="s">
        <v>56</v>
      </c>
      <c r="D40" s="130">
        <v>0</v>
      </c>
      <c r="E40" s="130">
        <v>0</v>
      </c>
      <c r="F40" s="130">
        <v>0</v>
      </c>
      <c r="G40" s="130">
        <v>0</v>
      </c>
    </row>
    <row r="41" spans="1:7" ht="32.25" customHeight="1">
      <c r="A41" s="85">
        <v>8</v>
      </c>
      <c r="B41" s="87" t="s">
        <v>72</v>
      </c>
      <c r="C41" s="82"/>
      <c r="D41" s="82"/>
      <c r="E41" s="82"/>
      <c r="F41" s="82"/>
      <c r="G41" s="82"/>
    </row>
    <row r="42" spans="1:7" ht="29.25" customHeight="1">
      <c r="A42" s="85" t="s">
        <v>73</v>
      </c>
      <c r="B42" s="87" t="s">
        <v>74</v>
      </c>
      <c r="C42" s="82" t="s">
        <v>57</v>
      </c>
      <c r="D42" s="89">
        <f>D17/D15*100</f>
        <v>1.1544654174231785</v>
      </c>
      <c r="E42" s="89">
        <f>E17/E15*100</f>
        <v>4.009307719757346</v>
      </c>
      <c r="F42" s="89">
        <f>F17/F15*100</f>
        <v>0</v>
      </c>
      <c r="G42" s="89">
        <f>G17/G15*100</f>
        <v>0</v>
      </c>
    </row>
    <row r="43" spans="1:7" ht="30.75" customHeight="1">
      <c r="A43" s="85" t="s">
        <v>75</v>
      </c>
      <c r="B43" s="87" t="s">
        <v>76</v>
      </c>
      <c r="C43" s="82" t="s">
        <v>57</v>
      </c>
      <c r="D43" s="89">
        <f>D21/D19*100</f>
        <v>4.493362460090741</v>
      </c>
      <c r="E43" s="89">
        <f>E21/E19*100</f>
        <v>5.519547537464393</v>
      </c>
      <c r="F43" s="89">
        <f>F21/F19*100</f>
        <v>4.085062177273977</v>
      </c>
      <c r="G43" s="89">
        <f>G21/G19*100</f>
        <v>2.9541738477175303</v>
      </c>
    </row>
    <row r="44" spans="1:7" ht="29.25" customHeight="1">
      <c r="A44" s="85" t="s">
        <v>77</v>
      </c>
      <c r="B44" s="87" t="s">
        <v>78</v>
      </c>
      <c r="C44" s="82" t="s">
        <v>57</v>
      </c>
      <c r="D44" s="89">
        <f>D25/D23*100</f>
        <v>2.394526795895097</v>
      </c>
      <c r="E44" s="89">
        <f>E25/E23*100</f>
        <v>2.394526795895097</v>
      </c>
      <c r="F44" s="89">
        <f>F25/F23*100</f>
        <v>2.394526795895097</v>
      </c>
      <c r="G44" s="89">
        <f>G25/G23*100</f>
        <v>2.394526795895097</v>
      </c>
    </row>
    <row r="45" spans="1:7" ht="33.75" customHeight="1">
      <c r="A45" s="85" t="s">
        <v>79</v>
      </c>
      <c r="B45" s="87" t="s">
        <v>80</v>
      </c>
      <c r="C45" s="82" t="s">
        <v>57</v>
      </c>
      <c r="D45" s="89">
        <f>D29/D27*100</f>
        <v>1.5819108052551614</v>
      </c>
      <c r="E45" s="89">
        <f>E29/E27*100</f>
        <v>4.229631857253841</v>
      </c>
      <c r="F45" s="89">
        <f>F29/F27*100</f>
        <v>0.49167092081491387</v>
      </c>
      <c r="G45" s="89">
        <f>G29/G27*100</f>
        <v>0.3086553038481907</v>
      </c>
    </row>
    <row r="46" spans="1:7" ht="33.75" customHeight="1">
      <c r="A46" s="250" t="s">
        <v>207</v>
      </c>
      <c r="B46" s="178"/>
      <c r="C46" s="178"/>
      <c r="D46" s="178"/>
      <c r="E46" s="178"/>
      <c r="F46" s="178"/>
      <c r="G46" s="178"/>
    </row>
    <row r="47" spans="1:7" ht="33.75" customHeight="1">
      <c r="A47" s="58"/>
      <c r="B47" s="59"/>
      <c r="C47" s="60"/>
      <c r="D47" s="61"/>
      <c r="E47" s="61"/>
      <c r="F47" s="61"/>
      <c r="G47" s="61"/>
    </row>
    <row r="48" spans="1:7" ht="33.75" customHeight="1">
      <c r="A48" s="58"/>
      <c r="B48" s="59"/>
      <c r="C48" s="60"/>
      <c r="D48" s="61"/>
      <c r="E48" s="61"/>
      <c r="F48" s="61"/>
      <c r="G48" s="61"/>
    </row>
    <row r="49" spans="1:7" ht="33.75" customHeight="1">
      <c r="A49" s="58"/>
      <c r="B49" s="59"/>
      <c r="C49" s="60"/>
      <c r="D49" s="61"/>
      <c r="E49" s="61"/>
      <c r="F49" s="61"/>
      <c r="G49" s="61"/>
    </row>
    <row r="50" spans="1:7" ht="20.25">
      <c r="A50" s="247"/>
      <c r="B50" s="248"/>
      <c r="C50" s="248"/>
      <c r="D50" s="248"/>
      <c r="E50" s="248"/>
      <c r="F50" s="248"/>
      <c r="G50" s="248"/>
    </row>
    <row r="51" spans="1:7" ht="18.75">
      <c r="A51" s="54"/>
      <c r="B51" s="47"/>
      <c r="C51" s="53"/>
      <c r="D51" s="47"/>
      <c r="E51" s="249"/>
      <c r="F51" s="249"/>
      <c r="G51" s="47"/>
    </row>
    <row r="52" spans="1:7" ht="18">
      <c r="A52" s="10"/>
      <c r="B52" s="8"/>
      <c r="C52" s="8"/>
      <c r="D52" s="8"/>
      <c r="E52" s="8"/>
      <c r="F52" s="8"/>
      <c r="G52" s="8"/>
    </row>
    <row r="53" spans="1:7" ht="18">
      <c r="A53" s="10"/>
      <c r="B53" s="8"/>
      <c r="C53" s="8"/>
      <c r="D53" s="8"/>
      <c r="E53" s="8"/>
      <c r="F53" s="8"/>
      <c r="G53" s="8"/>
    </row>
    <row r="54" spans="1:7" ht="18">
      <c r="A54" s="9"/>
      <c r="B54" s="8"/>
      <c r="C54" s="8"/>
      <c r="D54" s="8"/>
      <c r="E54" s="8"/>
      <c r="F54" s="8"/>
      <c r="G54" s="8"/>
    </row>
    <row r="55" spans="1:7" ht="12.75">
      <c r="A55" s="7"/>
      <c r="B55" s="7"/>
      <c r="C55" s="7"/>
      <c r="D55" s="7"/>
      <c r="E55" s="7"/>
      <c r="F55" s="7"/>
      <c r="G55" s="7"/>
    </row>
    <row r="56" spans="1:7" ht="12.75">
      <c r="A56" s="7"/>
      <c r="B56" s="7"/>
      <c r="C56" s="7"/>
      <c r="D56" s="7"/>
      <c r="E56" s="7"/>
      <c r="F56" s="7"/>
      <c r="G56" s="7"/>
    </row>
    <row r="57" spans="1:7" ht="12.75">
      <c r="A57" s="7"/>
      <c r="B57" s="7"/>
      <c r="C57" s="7"/>
      <c r="D57" s="7"/>
      <c r="E57" s="7"/>
      <c r="F57" s="7"/>
      <c r="G57" s="7"/>
    </row>
    <row r="58" spans="1:7" ht="12.75">
      <c r="A58" s="7"/>
      <c r="B58" s="7"/>
      <c r="C58" s="7"/>
      <c r="D58" s="7"/>
      <c r="E58" s="7"/>
      <c r="F58" s="7"/>
      <c r="G58" s="7"/>
    </row>
    <row r="59" spans="1:7" ht="12.75">
      <c r="A59" s="7"/>
      <c r="B59" s="7"/>
      <c r="C59" s="7"/>
      <c r="D59" s="7"/>
      <c r="E59" s="7"/>
      <c r="F59" s="7"/>
      <c r="G59" s="7"/>
    </row>
    <row r="60" spans="1:7" ht="12.75">
      <c r="A60" s="7"/>
      <c r="B60" s="7"/>
      <c r="C60" s="7"/>
      <c r="D60" s="7"/>
      <c r="E60" s="7"/>
      <c r="F60" s="7"/>
      <c r="G60" s="7"/>
    </row>
    <row r="61" spans="1:7" ht="12.75">
      <c r="A61" s="7"/>
      <c r="B61" s="7"/>
      <c r="C61" s="7"/>
      <c r="D61" s="7"/>
      <c r="E61" s="7"/>
      <c r="F61" s="7"/>
      <c r="G61" s="7"/>
    </row>
    <row r="62" spans="1:7" ht="12.75">
      <c r="A62" s="7"/>
      <c r="B62" s="7"/>
      <c r="C62" s="7"/>
      <c r="D62" s="7"/>
      <c r="E62" s="7"/>
      <c r="F62" s="7"/>
      <c r="G62" s="7"/>
    </row>
    <row r="63" spans="1:7" ht="12.75">
      <c r="A63" s="7"/>
      <c r="B63" s="7"/>
      <c r="C63" s="7"/>
      <c r="D63" s="7"/>
      <c r="E63" s="7"/>
      <c r="F63" s="7"/>
      <c r="G63" s="7"/>
    </row>
    <row r="64" spans="1:7" ht="12.75">
      <c r="A64" s="7"/>
      <c r="B64" s="7"/>
      <c r="C64" s="7"/>
      <c r="D64" s="7"/>
      <c r="E64" s="7"/>
      <c r="F64" s="7"/>
      <c r="G64" s="7"/>
    </row>
    <row r="65" spans="1:7" ht="12.75">
      <c r="A65" s="7"/>
      <c r="B65" s="7"/>
      <c r="C65" s="7"/>
      <c r="D65" s="7"/>
      <c r="E65" s="7"/>
      <c r="F65" s="7"/>
      <c r="G65" s="7"/>
    </row>
    <row r="66" spans="1:7" ht="12.75">
      <c r="A66" s="7"/>
      <c r="B66" s="7"/>
      <c r="C66" s="7"/>
      <c r="D66" s="7"/>
      <c r="E66" s="7"/>
      <c r="F66" s="7"/>
      <c r="G66" s="7"/>
    </row>
    <row r="67" spans="1:7" ht="12.75">
      <c r="A67" s="7"/>
      <c r="B67" s="7"/>
      <c r="C67" s="7"/>
      <c r="D67" s="7"/>
      <c r="E67" s="7"/>
      <c r="F67" s="7"/>
      <c r="G67" s="7"/>
    </row>
    <row r="68" spans="1:7" ht="12.75">
      <c r="A68" s="7"/>
      <c r="B68" s="7"/>
      <c r="C68" s="7"/>
      <c r="D68" s="7"/>
      <c r="E68" s="7"/>
      <c r="F68" s="7"/>
      <c r="G68" s="7"/>
    </row>
    <row r="69" spans="1:7" ht="12.75">
      <c r="A69" s="7"/>
      <c r="B69" s="7"/>
      <c r="C69" s="7"/>
      <c r="D69" s="7"/>
      <c r="E69" s="7"/>
      <c r="F69" s="7"/>
      <c r="G69" s="7"/>
    </row>
    <row r="70" spans="1:7" ht="12.75">
      <c r="A70" s="7"/>
      <c r="B70" s="7"/>
      <c r="C70" s="7"/>
      <c r="D70" s="7"/>
      <c r="E70" s="7"/>
      <c r="F70" s="7"/>
      <c r="G70" s="7"/>
    </row>
    <row r="71" spans="1:7" ht="12.75">
      <c r="A71" s="7"/>
      <c r="B71" s="7"/>
      <c r="C71" s="7"/>
      <c r="D71" s="7"/>
      <c r="E71" s="7"/>
      <c r="F71" s="7"/>
      <c r="G71" s="7"/>
    </row>
    <row r="72" spans="1:7" ht="12.75">
      <c r="A72" s="7"/>
      <c r="B72" s="7"/>
      <c r="C72" s="7"/>
      <c r="D72" s="7"/>
      <c r="E72" s="7"/>
      <c r="F72" s="7"/>
      <c r="G72" s="7"/>
    </row>
    <row r="73" spans="1:7" ht="12.75">
      <c r="A73" s="7"/>
      <c r="B73" s="7"/>
      <c r="C73" s="7"/>
      <c r="D73" s="7"/>
      <c r="E73" s="7"/>
      <c r="F73" s="7"/>
      <c r="G73" s="7"/>
    </row>
    <row r="74" spans="1:7" ht="12.75">
      <c r="A74" s="7"/>
      <c r="B74" s="7"/>
      <c r="C74" s="7"/>
      <c r="D74" s="7"/>
      <c r="E74" s="7"/>
      <c r="F74" s="7"/>
      <c r="G74" s="7"/>
    </row>
    <row r="75" spans="1:7" ht="12.75">
      <c r="A75" s="7"/>
      <c r="B75" s="7"/>
      <c r="C75" s="7"/>
      <c r="D75" s="7"/>
      <c r="E75" s="7"/>
      <c r="F75" s="7"/>
      <c r="G75" s="7"/>
    </row>
    <row r="76" spans="1:7" ht="12.75">
      <c r="A76" s="7"/>
      <c r="B76" s="7"/>
      <c r="C76" s="7"/>
      <c r="D76" s="7"/>
      <c r="E76" s="7"/>
      <c r="F76" s="7"/>
      <c r="G76" s="7"/>
    </row>
  </sheetData>
  <sheetProtection/>
  <mergeCells count="17">
    <mergeCell ref="E1:G1"/>
    <mergeCell ref="E4:G4"/>
    <mergeCell ref="E10:G10"/>
    <mergeCell ref="A6:G6"/>
    <mergeCell ref="A7:G7"/>
    <mergeCell ref="A1:C1"/>
    <mergeCell ref="A2:B2"/>
    <mergeCell ref="D2:G2"/>
    <mergeCell ref="F3:G3"/>
    <mergeCell ref="A50:G50"/>
    <mergeCell ref="E51:F51"/>
    <mergeCell ref="A11:A12"/>
    <mergeCell ref="B11:B12"/>
    <mergeCell ref="C11:C12"/>
    <mergeCell ref="D11:D12"/>
    <mergeCell ref="A46:G46"/>
    <mergeCell ref="E11:G11"/>
  </mergeCells>
  <printOptions/>
  <pageMargins left="1.41" right="0.7874015748031497" top="0.984251968503937" bottom="0.984251968503937" header="0.5118110236220472" footer="0.5118110236220472"/>
  <pageSetup horizontalDpi="600" verticalDpi="600" orientation="portrait" paperSize="9" scale="3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5"/>
  <sheetViews>
    <sheetView tabSelected="1" view="pageBreakPreview" zoomScale="71" zoomScaleNormal="76" zoomScaleSheetLayoutView="71" zoomScalePageLayoutView="0" workbookViewId="0" topLeftCell="A31">
      <selection activeCell="C44" sqref="C44"/>
    </sheetView>
  </sheetViews>
  <sheetFormatPr defaultColWidth="9.00390625" defaultRowHeight="12.75"/>
  <cols>
    <col min="1" max="1" width="11.125" style="1" customWidth="1"/>
    <col min="2" max="2" width="71.625" style="1" customWidth="1"/>
    <col min="3" max="3" width="18.75390625" style="1" customWidth="1"/>
    <col min="4" max="4" width="17.75390625" style="1" customWidth="1"/>
    <col min="5" max="5" width="19.625" style="1" customWidth="1"/>
    <col min="6" max="6" width="17.625" style="1" customWidth="1"/>
    <col min="7" max="7" width="18.125" style="1" customWidth="1"/>
    <col min="8" max="8" width="18.00390625" style="1" customWidth="1"/>
    <col min="9" max="9" width="18.125" style="1" customWidth="1"/>
    <col min="10" max="10" width="17.25390625" style="1" customWidth="1"/>
    <col min="11" max="11" width="18.375" style="1" customWidth="1"/>
    <col min="12" max="13" width="11.125" style="1" customWidth="1"/>
    <col min="14" max="14" width="11.375" style="1" bestFit="1" customWidth="1"/>
    <col min="15" max="15" width="14.75390625" style="1" customWidth="1"/>
    <col min="16" max="16384" width="9.125" style="1" customWidth="1"/>
  </cols>
  <sheetData>
    <row r="1" spans="1:10" ht="27">
      <c r="A1" s="144"/>
      <c r="B1" s="145"/>
      <c r="C1" s="145"/>
      <c r="D1" s="145"/>
      <c r="E1" s="145"/>
      <c r="F1" s="145"/>
      <c r="G1" s="145"/>
      <c r="H1" s="262" t="s">
        <v>87</v>
      </c>
      <c r="I1" s="262"/>
      <c r="J1" s="262"/>
    </row>
    <row r="2" spans="1:10" ht="27">
      <c r="A2" s="144"/>
      <c r="B2" s="145"/>
      <c r="C2" s="145"/>
      <c r="D2" s="145"/>
      <c r="E2" s="145"/>
      <c r="F2" s="262" t="s">
        <v>221</v>
      </c>
      <c r="G2" s="263"/>
      <c r="H2" s="263"/>
      <c r="I2" s="263"/>
      <c r="J2" s="263"/>
    </row>
    <row r="3" spans="1:10" ht="27">
      <c r="A3" s="144"/>
      <c r="B3" s="145"/>
      <c r="C3" s="145"/>
      <c r="D3" s="145"/>
      <c r="E3" s="145"/>
      <c r="F3" s="146"/>
      <c r="G3" s="263"/>
      <c r="H3" s="263"/>
      <c r="I3" s="263"/>
      <c r="J3" s="263"/>
    </row>
    <row r="4" spans="1:10" ht="13.5" customHeight="1">
      <c r="A4" s="144"/>
      <c r="B4" s="145"/>
      <c r="C4" s="145"/>
      <c r="D4" s="145"/>
      <c r="E4" s="145"/>
      <c r="F4" s="146"/>
      <c r="G4" s="263"/>
      <c r="H4" s="263"/>
      <c r="I4" s="263"/>
      <c r="J4" s="263"/>
    </row>
    <row r="5" spans="1:10" ht="31.5" customHeight="1">
      <c r="A5" s="201" t="s">
        <v>222</v>
      </c>
      <c r="B5" s="192"/>
      <c r="C5" s="192"/>
      <c r="D5" s="192"/>
      <c r="E5" s="192"/>
      <c r="F5" s="192"/>
      <c r="G5" s="192"/>
      <c r="H5" s="192"/>
      <c r="I5" s="192"/>
      <c r="J5" s="192"/>
    </row>
    <row r="6" spans="1:10" ht="24" customHeight="1">
      <c r="A6" s="201" t="s">
        <v>223</v>
      </c>
      <c r="B6" s="192"/>
      <c r="C6" s="192"/>
      <c r="D6" s="192"/>
      <c r="E6" s="192"/>
      <c r="F6" s="192"/>
      <c r="G6" s="192"/>
      <c r="H6" s="192"/>
      <c r="I6" s="192"/>
      <c r="J6" s="192"/>
    </row>
    <row r="7" spans="1:10" ht="61.5" customHeight="1">
      <c r="A7" s="201" t="s">
        <v>267</v>
      </c>
      <c r="B7" s="192"/>
      <c r="C7" s="192"/>
      <c r="D7" s="192"/>
      <c r="E7" s="192"/>
      <c r="F7" s="192"/>
      <c r="G7" s="192"/>
      <c r="H7" s="192"/>
      <c r="I7" s="192"/>
      <c r="J7" s="192"/>
    </row>
    <row r="8" spans="1:10" ht="18.75">
      <c r="A8" s="22"/>
      <c r="B8" s="22"/>
      <c r="C8" s="22"/>
      <c r="D8" s="22"/>
      <c r="E8" s="22"/>
      <c r="F8" s="22"/>
      <c r="G8" s="22"/>
      <c r="H8" s="22"/>
      <c r="I8" s="22"/>
      <c r="J8" s="22"/>
    </row>
    <row r="9" spans="1:10" ht="18.75">
      <c r="A9" s="22"/>
      <c r="B9" s="22"/>
      <c r="C9" s="22"/>
      <c r="D9" s="22"/>
      <c r="E9" s="22"/>
      <c r="F9" s="22"/>
      <c r="G9" s="22"/>
      <c r="H9" s="22"/>
      <c r="I9" s="22"/>
      <c r="J9" s="22"/>
    </row>
    <row r="10" spans="1:10" ht="84" customHeight="1">
      <c r="A10" s="200" t="s">
        <v>16</v>
      </c>
      <c r="B10" s="200" t="s">
        <v>17</v>
      </c>
      <c r="C10" s="195" t="s">
        <v>18</v>
      </c>
      <c r="D10" s="264"/>
      <c r="E10" s="195" t="s">
        <v>224</v>
      </c>
      <c r="F10" s="264"/>
      <c r="G10" s="195" t="s">
        <v>225</v>
      </c>
      <c r="H10" s="264"/>
      <c r="I10" s="200" t="s">
        <v>226</v>
      </c>
      <c r="J10" s="200"/>
    </row>
    <row r="11" spans="1:14" ht="66" customHeight="1">
      <c r="A11" s="200"/>
      <c r="B11" s="200"/>
      <c r="C11" s="24" t="s">
        <v>227</v>
      </c>
      <c r="D11" s="24" t="s">
        <v>88</v>
      </c>
      <c r="E11" s="24" t="s">
        <v>227</v>
      </c>
      <c r="F11" s="24" t="s">
        <v>88</v>
      </c>
      <c r="G11" s="24" t="s">
        <v>227</v>
      </c>
      <c r="H11" s="24" t="s">
        <v>88</v>
      </c>
      <c r="I11" s="24" t="s">
        <v>227</v>
      </c>
      <c r="J11" s="24" t="s">
        <v>88</v>
      </c>
      <c r="K11" s="21"/>
      <c r="L11" s="21"/>
      <c r="M11" s="12"/>
      <c r="N11" s="12"/>
    </row>
    <row r="12" spans="1:14" ht="22.5" customHeight="1">
      <c r="A12" s="25">
        <v>1</v>
      </c>
      <c r="B12" s="25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5">
        <v>8</v>
      </c>
      <c r="I12" s="25">
        <v>9</v>
      </c>
      <c r="J12" s="25">
        <v>10</v>
      </c>
      <c r="K12" s="12"/>
      <c r="L12" s="12"/>
      <c r="M12" s="12"/>
      <c r="N12" s="12"/>
    </row>
    <row r="13" spans="1:15" ht="22.5" customHeight="1">
      <c r="A13" s="30">
        <v>1</v>
      </c>
      <c r="B13" s="31" t="s">
        <v>228</v>
      </c>
      <c r="C13" s="32">
        <f aca="true" t="shared" si="0" ref="C13:J13">C14+C20+C21+C25</f>
        <v>108157.78</v>
      </c>
      <c r="D13" s="32">
        <f t="shared" si="0"/>
        <v>2280.28332568655</v>
      </c>
      <c r="E13" s="32">
        <f t="shared" si="0"/>
        <v>31625.437</v>
      </c>
      <c r="F13" s="32">
        <f t="shared" si="0"/>
        <v>1524.2</v>
      </c>
      <c r="G13" s="32">
        <f t="shared" si="0"/>
        <v>64274.753</v>
      </c>
      <c r="H13" s="32">
        <f t="shared" si="0"/>
        <v>2694.56</v>
      </c>
      <c r="I13" s="32">
        <f t="shared" si="0"/>
        <v>12257.589999999998</v>
      </c>
      <c r="J13" s="32">
        <f t="shared" si="0"/>
        <v>4332.280000000001</v>
      </c>
      <c r="K13" s="18"/>
      <c r="L13" s="18"/>
      <c r="M13" s="18"/>
      <c r="N13" s="18"/>
      <c r="O13" s="16"/>
    </row>
    <row r="14" spans="1:14" ht="22.5" customHeight="1">
      <c r="A14" s="28" t="s">
        <v>2</v>
      </c>
      <c r="B14" s="26" t="s">
        <v>229</v>
      </c>
      <c r="C14" s="27">
        <f>C15+C16+C17+C18+C19</f>
        <v>94508.799</v>
      </c>
      <c r="D14" s="27">
        <f>SUM(D15:D19)</f>
        <v>1992.5226482831843</v>
      </c>
      <c r="E14" s="27">
        <f>E15+E16+E17+E18+E19</f>
        <v>25654.739999999998</v>
      </c>
      <c r="F14" s="27">
        <f>SUM(F15:F19)</f>
        <v>1236.44</v>
      </c>
      <c r="G14" s="27">
        <f>G15+G16+G17+G18+G19</f>
        <v>57410.65</v>
      </c>
      <c r="H14" s="170">
        <f>SUM(H15:H19)</f>
        <v>2406.8</v>
      </c>
      <c r="I14" s="27">
        <f>I15+I16+I17+I18+I19</f>
        <v>11443.409</v>
      </c>
      <c r="J14" s="27">
        <f>SUM(J15:J19)</f>
        <v>4044.52</v>
      </c>
      <c r="K14" s="18"/>
      <c r="L14" s="12"/>
      <c r="M14" s="12"/>
      <c r="N14" s="12"/>
    </row>
    <row r="15" spans="1:14" ht="27" customHeight="1">
      <c r="A15" s="28" t="s">
        <v>23</v>
      </c>
      <c r="B15" s="26" t="s">
        <v>122</v>
      </c>
      <c r="C15" s="27">
        <f>E15+G15+I15</f>
        <v>89815.78</v>
      </c>
      <c r="D15" s="27">
        <f>ROUND(C15/C48*1000,2)</f>
        <v>1893.58</v>
      </c>
      <c r="E15" s="27">
        <f>Вироб!E13</f>
        <v>23601.79</v>
      </c>
      <c r="F15" s="27">
        <f>ROUND(E15/E48*1000,2)</f>
        <v>1137.5</v>
      </c>
      <c r="G15" s="27">
        <f>Вироб!G13</f>
        <v>55050.53</v>
      </c>
      <c r="H15" s="27">
        <f>ROUND(G15/G48*1000,2)</f>
        <v>2307.86</v>
      </c>
      <c r="I15" s="27">
        <f>Вироб!I13</f>
        <v>11163.46</v>
      </c>
      <c r="J15" s="27">
        <f>ROUND(I15/I48*1000,2)</f>
        <v>3945.58</v>
      </c>
      <c r="K15" s="18"/>
      <c r="L15" s="12"/>
      <c r="M15" s="12"/>
      <c r="N15" s="12"/>
    </row>
    <row r="16" spans="1:14" ht="26.25" customHeight="1">
      <c r="A16" s="28" t="s">
        <v>24</v>
      </c>
      <c r="B16" s="26" t="s">
        <v>123</v>
      </c>
      <c r="C16" s="27">
        <f>E16+G16+I16</f>
        <v>3594.527</v>
      </c>
      <c r="D16" s="27">
        <f>C16/C48*1000</f>
        <v>75.78320494875685</v>
      </c>
      <c r="E16" s="27">
        <f>Вироб!E14+'Трансп.'!E14</f>
        <v>1572.42</v>
      </c>
      <c r="F16" s="27">
        <f>ROUND(E16/E48*1000,2)</f>
        <v>75.78</v>
      </c>
      <c r="G16" s="27">
        <f>Вироб!G14+'Трансп.'!G14</f>
        <v>1807.69</v>
      </c>
      <c r="H16" s="27">
        <f>ROUND(G16/G48*1000,2)</f>
        <v>75.78</v>
      </c>
      <c r="I16" s="27">
        <f>Вироб!I14+'Трансп.'!I14</f>
        <v>214.417</v>
      </c>
      <c r="J16" s="27">
        <f>ROUND(I16/I48*1000,2)</f>
        <v>75.78</v>
      </c>
      <c r="K16" s="18"/>
      <c r="L16" s="12"/>
      <c r="M16" s="12"/>
      <c r="N16" s="12"/>
    </row>
    <row r="17" spans="1:14" ht="45" customHeight="1">
      <c r="A17" s="28" t="s">
        <v>25</v>
      </c>
      <c r="B17" s="26" t="s">
        <v>230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18"/>
      <c r="L17" s="12"/>
      <c r="M17" s="12"/>
      <c r="N17" s="12"/>
    </row>
    <row r="18" spans="1:14" ht="24.75" customHeight="1">
      <c r="A18" s="28" t="s">
        <v>26</v>
      </c>
      <c r="B18" s="26" t="s">
        <v>231</v>
      </c>
      <c r="C18" s="27">
        <f>E18+G18+I18</f>
        <v>364.81199999999995</v>
      </c>
      <c r="D18" s="27">
        <f>C18/C48*1000</f>
        <v>7.691310306965528</v>
      </c>
      <c r="E18" s="27">
        <f>Вироб!E16+'Трансп.'!E15</f>
        <v>159.58999999999997</v>
      </c>
      <c r="F18" s="27">
        <f>ROUND(E18/E48*1000,2)</f>
        <v>7.69</v>
      </c>
      <c r="G18" s="27">
        <f>Вироб!G16+'Трансп.'!G15</f>
        <v>183.45999999999998</v>
      </c>
      <c r="H18" s="27">
        <f>ROUND(G18/G48*1000,2)</f>
        <v>7.69</v>
      </c>
      <c r="I18" s="27">
        <f>Вироб!I16+'Трансп.'!I15</f>
        <v>21.762</v>
      </c>
      <c r="J18" s="27">
        <f>ROUND(I18/I48*1000,2)</f>
        <v>7.69</v>
      </c>
      <c r="K18" s="18"/>
      <c r="L18" s="12"/>
      <c r="M18" s="12"/>
      <c r="N18" s="12"/>
    </row>
    <row r="19" spans="1:14" ht="27.75" customHeight="1">
      <c r="A19" s="28" t="s">
        <v>27</v>
      </c>
      <c r="B19" s="26" t="s">
        <v>232</v>
      </c>
      <c r="C19" s="27">
        <f>E19+G19+I19</f>
        <v>733.6800000000001</v>
      </c>
      <c r="D19" s="27">
        <f>C19/C48*1000</f>
        <v>15.468133027462008</v>
      </c>
      <c r="E19" s="27">
        <f>Вироб!E17+'Трансп.'!E16</f>
        <v>320.94</v>
      </c>
      <c r="F19" s="27">
        <f>ROUND(E19/E48*1000,2)</f>
        <v>15.47</v>
      </c>
      <c r="G19" s="27">
        <f>Вироб!G17+'Трансп.'!G16</f>
        <v>368.97</v>
      </c>
      <c r="H19" s="27">
        <f>ROUND(G19/G48*1000,2)</f>
        <v>15.47</v>
      </c>
      <c r="I19" s="27">
        <f>Вироб!I17+'Трансп.'!I16</f>
        <v>43.77</v>
      </c>
      <c r="J19" s="27">
        <f>ROUND(I19/I48*1000,2)</f>
        <v>15.47</v>
      </c>
      <c r="K19" s="18"/>
      <c r="L19" s="12"/>
      <c r="M19" s="12"/>
      <c r="N19" s="12"/>
    </row>
    <row r="20" spans="1:15" ht="24.75" customHeight="1">
      <c r="A20" s="28" t="s">
        <v>3</v>
      </c>
      <c r="B20" s="26" t="s">
        <v>19</v>
      </c>
      <c r="C20" s="27">
        <f>E20+G20+I20</f>
        <v>7847.791</v>
      </c>
      <c r="D20" s="27">
        <f>C20/C48*1000</f>
        <v>165.45452398827703</v>
      </c>
      <c r="E20" s="27">
        <f>Вироб!E18+'Трансп.'!E18+'Постач.'!E14</f>
        <v>3432.9900000000002</v>
      </c>
      <c r="F20" s="27">
        <f>ROUND(E20/E48*1000,2)</f>
        <v>165.45</v>
      </c>
      <c r="G20" s="27">
        <f>Вироб!G18+'Трансп.'!G18+'Постач.'!G14</f>
        <v>3946.67</v>
      </c>
      <c r="H20" s="27">
        <f>ROUND(G20/G48*1000,2)</f>
        <v>165.45</v>
      </c>
      <c r="I20" s="27">
        <f>Вироб!I18+'Трансп.'!I18+'Постач.'!I14</f>
        <v>468.131</v>
      </c>
      <c r="J20" s="27">
        <f>ROUND(I20/I48*1000,2)</f>
        <v>165.45</v>
      </c>
      <c r="K20" s="18"/>
      <c r="L20" s="11"/>
      <c r="M20" s="20"/>
      <c r="N20" s="11"/>
      <c r="O20" s="17"/>
    </row>
    <row r="21" spans="1:15" ht="24" customHeight="1">
      <c r="A21" s="28" t="s">
        <v>28</v>
      </c>
      <c r="B21" s="26" t="s">
        <v>233</v>
      </c>
      <c r="C21" s="27">
        <f aca="true" t="shared" si="1" ref="C21:J21">C22+C23+C24</f>
        <v>3215.51</v>
      </c>
      <c r="D21" s="27">
        <f t="shared" si="1"/>
        <v>67.79241144795327</v>
      </c>
      <c r="E21" s="27">
        <f t="shared" si="1"/>
        <v>1406.6100000000001</v>
      </c>
      <c r="F21" s="27">
        <f t="shared" si="1"/>
        <v>67.78999999999999</v>
      </c>
      <c r="G21" s="27">
        <f t="shared" si="1"/>
        <v>1617.09</v>
      </c>
      <c r="H21" s="27">
        <f t="shared" si="1"/>
        <v>67.78999999999999</v>
      </c>
      <c r="I21" s="27">
        <f t="shared" si="1"/>
        <v>191.81</v>
      </c>
      <c r="J21" s="27">
        <f t="shared" si="1"/>
        <v>67.78999999999999</v>
      </c>
      <c r="K21" s="18"/>
      <c r="L21" s="18"/>
      <c r="M21" s="18"/>
      <c r="N21" s="18"/>
      <c r="O21" s="16"/>
    </row>
    <row r="22" spans="1:15" ht="24.75" customHeight="1">
      <c r="A22" s="28" t="s">
        <v>29</v>
      </c>
      <c r="B22" s="26" t="s">
        <v>172</v>
      </c>
      <c r="C22" s="27">
        <f>E22+G22+I22</f>
        <v>1700.858</v>
      </c>
      <c r="D22" s="27">
        <f>C22/C48*1000</f>
        <v>35.859090890882904</v>
      </c>
      <c r="E22" s="27">
        <f>Вироб!E20+'Трансп.'!E20+'Постач.'!E16</f>
        <v>744.03</v>
      </c>
      <c r="F22" s="27">
        <f>ROUND(E22/E48*1000,2)</f>
        <v>35.86</v>
      </c>
      <c r="G22" s="27">
        <f>Вироб!G20+'Трансп.'!G20+'Постач.'!G16</f>
        <v>855.3699999999999</v>
      </c>
      <c r="H22" s="27">
        <f>ROUND(G22/G48*1000,2)</f>
        <v>35.86</v>
      </c>
      <c r="I22" s="27">
        <f>Вироб!I20+'Трансп.'!I20+'Постач.'!I16</f>
        <v>101.458</v>
      </c>
      <c r="J22" s="27">
        <f>ROUND(I22/I48*1000,2)</f>
        <v>35.86</v>
      </c>
      <c r="K22" s="18"/>
      <c r="L22" s="18"/>
      <c r="M22" s="18"/>
      <c r="N22" s="11"/>
      <c r="O22" s="11"/>
    </row>
    <row r="23" spans="1:15" ht="23.25" customHeight="1">
      <c r="A23" s="28" t="s">
        <v>30</v>
      </c>
      <c r="B23" s="29" t="s">
        <v>101</v>
      </c>
      <c r="C23" s="27">
        <f>E23+G23+I23</f>
        <v>1069.816</v>
      </c>
      <c r="D23" s="27">
        <f>C23/C48*1000</f>
        <v>22.55486888412836</v>
      </c>
      <c r="E23" s="27">
        <f>Вироб!E21+'Трансп.'!E21+'Постач.'!E17</f>
        <v>467.99</v>
      </c>
      <c r="F23" s="27">
        <f>ROUND(E23/E48*1000,2)</f>
        <v>22.55</v>
      </c>
      <c r="G23" s="27">
        <f>Вироб!G21+'Трансп.'!G21+'Постач.'!G17</f>
        <v>538.01</v>
      </c>
      <c r="H23" s="27">
        <f>ROUND(G23/G48*1000,2)</f>
        <v>22.55</v>
      </c>
      <c r="I23" s="27">
        <f>Вироб!I21+'Трансп.'!I21+'Постач.'!I17</f>
        <v>63.816</v>
      </c>
      <c r="J23" s="27">
        <f>ROUND(I23/I48*1000,2)</f>
        <v>22.55</v>
      </c>
      <c r="K23" s="18"/>
      <c r="L23" s="11"/>
      <c r="M23" s="11"/>
      <c r="N23" s="11"/>
      <c r="O23" s="11"/>
    </row>
    <row r="24" spans="1:11" ht="27" customHeight="1">
      <c r="A24" s="28" t="s">
        <v>31</v>
      </c>
      <c r="B24" s="26" t="s">
        <v>20</v>
      </c>
      <c r="C24" s="27">
        <f>E24+G24+I24</f>
        <v>444.83600000000007</v>
      </c>
      <c r="D24" s="27">
        <f>C24/C48*1000</f>
        <v>9.378451672942006</v>
      </c>
      <c r="E24" s="27">
        <f>Вироб!E22+'Трансп.'!E22+'Постач.'!E18</f>
        <v>194.59000000000003</v>
      </c>
      <c r="F24" s="27">
        <f>ROUND(E24/E48*1000,2)</f>
        <v>9.38</v>
      </c>
      <c r="G24" s="27">
        <f>Вироб!G22+'Трансп.'!G22+'Постач.'!G18</f>
        <v>223.71</v>
      </c>
      <c r="H24" s="27">
        <f>ROUND(G24/G48*1000,2)</f>
        <v>9.38</v>
      </c>
      <c r="I24" s="27">
        <f>Вироб!I22+'Трансп.'!I22+'Постач.'!I18</f>
        <v>26.536</v>
      </c>
      <c r="J24" s="27">
        <f>ROUND(I24/I48*1000,2)</f>
        <v>9.38</v>
      </c>
      <c r="K24" s="18"/>
    </row>
    <row r="25" spans="1:14" ht="22.5" customHeight="1">
      <c r="A25" s="28" t="s">
        <v>32</v>
      </c>
      <c r="B25" s="26" t="s">
        <v>234</v>
      </c>
      <c r="C25" s="27">
        <f aca="true" t="shared" si="2" ref="C25:J25">SUM(C26:C28)</f>
        <v>2585.6800000000003</v>
      </c>
      <c r="D25" s="27">
        <f t="shared" si="2"/>
        <v>54.51374196713549</v>
      </c>
      <c r="E25" s="27">
        <f t="shared" si="2"/>
        <v>1131.097</v>
      </c>
      <c r="F25" s="27">
        <f t="shared" si="2"/>
        <v>54.52</v>
      </c>
      <c r="G25" s="27">
        <f t="shared" si="2"/>
        <v>1300.343</v>
      </c>
      <c r="H25" s="27">
        <f t="shared" si="2"/>
        <v>54.52</v>
      </c>
      <c r="I25" s="27">
        <f t="shared" si="2"/>
        <v>154.23999999999998</v>
      </c>
      <c r="J25" s="27">
        <f t="shared" si="2"/>
        <v>54.52</v>
      </c>
      <c r="K25" s="18"/>
      <c r="L25" s="17"/>
      <c r="M25" s="17"/>
      <c r="N25" s="16"/>
    </row>
    <row r="26" spans="1:14" ht="25.5" customHeight="1">
      <c r="A26" s="28" t="s">
        <v>33</v>
      </c>
      <c r="B26" s="26" t="s">
        <v>21</v>
      </c>
      <c r="C26" s="27">
        <f>E26+G26+I26</f>
        <v>1377.9</v>
      </c>
      <c r="D26" s="48">
        <f>C26/C48*1000</f>
        <v>29.05018604642337</v>
      </c>
      <c r="E26" s="27">
        <f>Вироб!E24+'Трансп.'!E24+'Постач.'!E20</f>
        <v>602.758</v>
      </c>
      <c r="F26" s="27">
        <f>ROUND(E26/E48*1000,2)</f>
        <v>29.05</v>
      </c>
      <c r="G26" s="27">
        <f>Вироб!G24+'Трансп.'!G24+'Постач.'!G20</f>
        <v>692.948</v>
      </c>
      <c r="H26" s="27">
        <f>ROUND(G26/G48*1000,2)</f>
        <v>29.05</v>
      </c>
      <c r="I26" s="27">
        <f>Вироб!I24+'Трансп.'!I24+'Постач.'!I20</f>
        <v>82.19399999999999</v>
      </c>
      <c r="J26" s="27">
        <f>ROUND(I26/I48*1000,2)</f>
        <v>29.05</v>
      </c>
      <c r="K26" s="18"/>
      <c r="L26" s="11"/>
      <c r="M26" s="11"/>
      <c r="N26" s="16"/>
    </row>
    <row r="27" spans="1:14" ht="22.5" customHeight="1">
      <c r="A27" s="28" t="s">
        <v>34</v>
      </c>
      <c r="B27" s="26" t="s">
        <v>172</v>
      </c>
      <c r="C27" s="27">
        <f>E27+G27+I27</f>
        <v>282.97</v>
      </c>
      <c r="D27" s="27">
        <f>C27/C48*1000</f>
        <v>5.965840152083912</v>
      </c>
      <c r="E27" s="27">
        <f>Вироб!E25+'Трансп.'!E25+'Постач.'!E21</f>
        <v>123.784</v>
      </c>
      <c r="F27" s="27">
        <f>ROUND(E27/E48*1000,2)</f>
        <v>5.97</v>
      </c>
      <c r="G27" s="27">
        <f>Вироб!G25+'Трансп.'!G25+'Постач.'!G21</f>
        <v>142.306</v>
      </c>
      <c r="H27" s="27">
        <f>ROUND(G27/G48*1000,2)</f>
        <v>5.97</v>
      </c>
      <c r="I27" s="27">
        <f>Вироб!I25+'Трансп.'!I25+'Постач.'!I21</f>
        <v>16.88</v>
      </c>
      <c r="J27" s="27">
        <f>ROUND(I27/I48*1000,2)</f>
        <v>5.97</v>
      </c>
      <c r="K27" s="18"/>
      <c r="L27" s="11"/>
      <c r="M27" s="11"/>
      <c r="N27" s="16"/>
    </row>
    <row r="28" spans="1:14" ht="25.5" customHeight="1">
      <c r="A28" s="28" t="s">
        <v>235</v>
      </c>
      <c r="B28" s="26" t="s">
        <v>22</v>
      </c>
      <c r="C28" s="27">
        <f>E28+G28+I28</f>
        <v>924.8100000000001</v>
      </c>
      <c r="D28" s="27">
        <f>C28/C48*1000</f>
        <v>19.4977157686282</v>
      </c>
      <c r="E28" s="27">
        <f>Вироб!E26+'Трансп.'!E26+'Постач.'!E22</f>
        <v>404.555</v>
      </c>
      <c r="F28" s="27">
        <f>ROUND(E28/E48*1000,2)</f>
        <v>19.5</v>
      </c>
      <c r="G28" s="27">
        <f>Вироб!G26+'Трансп.'!G26+'Постач.'!G22</f>
        <v>465.089</v>
      </c>
      <c r="H28" s="27">
        <f>ROUND(G28/G48*1000,2)</f>
        <v>19.5</v>
      </c>
      <c r="I28" s="27">
        <f>Вироб!I26+'Трансп.'!I26+'Постач.'!I22</f>
        <v>55.166000000000004</v>
      </c>
      <c r="J28" s="27">
        <f>ROUND(I28/I48*1000,2)</f>
        <v>19.5</v>
      </c>
      <c r="K28" s="18"/>
      <c r="L28" s="19"/>
      <c r="M28" s="19"/>
      <c r="N28" s="19"/>
    </row>
    <row r="29" spans="1:14" ht="27" customHeight="1">
      <c r="A29" s="30" t="s">
        <v>4</v>
      </c>
      <c r="B29" s="31" t="s">
        <v>236</v>
      </c>
      <c r="C29" s="32">
        <f aca="true" t="shared" si="3" ref="C29:J29">SUM(C30:C32)</f>
        <v>3199.345</v>
      </c>
      <c r="D29" s="32">
        <f t="shared" si="3"/>
        <v>67.4516056874188</v>
      </c>
      <c r="E29" s="32">
        <f t="shared" si="3"/>
        <v>1399.54</v>
      </c>
      <c r="F29" s="32">
        <f t="shared" si="3"/>
        <v>67.44750606057393</v>
      </c>
      <c r="G29" s="32">
        <f t="shared" si="3"/>
        <v>1608.96</v>
      </c>
      <c r="H29" s="32">
        <f t="shared" si="3"/>
        <v>67.44776688442656</v>
      </c>
      <c r="I29" s="32">
        <f t="shared" si="3"/>
        <v>190.84500000000003</v>
      </c>
      <c r="J29" s="32">
        <f t="shared" si="3"/>
        <v>67.44767919246756</v>
      </c>
      <c r="K29" s="18"/>
      <c r="L29" s="17"/>
      <c r="M29" s="17"/>
      <c r="N29" s="16"/>
    </row>
    <row r="30" spans="1:14" ht="24" customHeight="1">
      <c r="A30" s="28" t="s">
        <v>5</v>
      </c>
      <c r="B30" s="26" t="s">
        <v>21</v>
      </c>
      <c r="C30" s="27">
        <f>E30+G30+I30</f>
        <v>2368.359</v>
      </c>
      <c r="D30" s="27">
        <f>C30/C48*1000</f>
        <v>49.931975887017344</v>
      </c>
      <c r="E30" s="27">
        <f>Вироб!E28+'Трансп.'!E28+'Постач.'!E24</f>
        <v>1036.03</v>
      </c>
      <c r="F30" s="27">
        <f>ROUND(E30/E48*1000,2)</f>
        <v>49.93</v>
      </c>
      <c r="G30" s="27">
        <f>Вироб!G28+'Трансп.'!G28+'Постач.'!G24</f>
        <v>1191.053</v>
      </c>
      <c r="H30" s="27">
        <f>ROUND(G30/G48*1000,2)</f>
        <v>49.93</v>
      </c>
      <c r="I30" s="27">
        <f>Вироб!I28+'Трансп.'!I28+'Постач.'!I24</f>
        <v>141.276</v>
      </c>
      <c r="J30" s="27">
        <f>ROUND(I30/I48*1000,2)</f>
        <v>49.93</v>
      </c>
      <c r="K30" s="18"/>
      <c r="L30" s="11"/>
      <c r="M30" s="11"/>
      <c r="N30" s="16"/>
    </row>
    <row r="31" spans="1:14" ht="24.75" customHeight="1">
      <c r="A31" s="28" t="s">
        <v>6</v>
      </c>
      <c r="B31" s="26" t="s">
        <v>172</v>
      </c>
      <c r="C31" s="27">
        <f>E31+G31+I31</f>
        <v>487.692</v>
      </c>
      <c r="D31" s="27">
        <f>C31/C48*1000</f>
        <v>10.281982243524427</v>
      </c>
      <c r="E31" s="27">
        <f>Вироб!E29+'Трансп.'!E29+'Постач.'!E25</f>
        <v>213.34</v>
      </c>
      <c r="F31" s="27">
        <f>ROUND(E31/E48*1000,2)</f>
        <v>10.28</v>
      </c>
      <c r="G31" s="27">
        <f>Вироб!G29+'Трансп.'!G29+'Постач.'!G25</f>
        <v>245.261</v>
      </c>
      <c r="H31" s="27">
        <f>ROUND(G31/G48*1000,2)</f>
        <v>10.28</v>
      </c>
      <c r="I31" s="27">
        <f>Вироб!I29+'Трансп.'!I29+'Постач.'!I25</f>
        <v>29.091</v>
      </c>
      <c r="J31" s="27">
        <f>ROUND(I31/I48*1000,2)</f>
        <v>10.28</v>
      </c>
      <c r="K31" s="18"/>
      <c r="L31" s="11"/>
      <c r="M31" s="11"/>
      <c r="N31" s="16"/>
    </row>
    <row r="32" spans="1:14" ht="24" customHeight="1">
      <c r="A32" s="28" t="s">
        <v>237</v>
      </c>
      <c r="B32" s="26" t="s">
        <v>22</v>
      </c>
      <c r="C32" s="27">
        <f>E32+G32+I32</f>
        <v>343.29400000000004</v>
      </c>
      <c r="D32" s="27">
        <f>C32/C48*1000</f>
        <v>7.237647556877034</v>
      </c>
      <c r="E32" s="27">
        <f>Вироб!E30+'Трансп.'!E30+'Постач.'!E26</f>
        <v>150.17000000000002</v>
      </c>
      <c r="F32" s="27">
        <f>E32/E48*1000</f>
        <v>7.2375060605739305</v>
      </c>
      <c r="G32" s="27">
        <f>Вироб!G30+'Трансп.'!G30+'Постач.'!G26</f>
        <v>172.646</v>
      </c>
      <c r="H32" s="27">
        <f>G32/G48*1000</f>
        <v>7.237766884426554</v>
      </c>
      <c r="I32" s="27">
        <f>Вироб!I30+'Трансп.'!I30+'Постач.'!I26</f>
        <v>20.478</v>
      </c>
      <c r="J32" s="27">
        <f>I32/I48*1000</f>
        <v>7.237679192467555</v>
      </c>
      <c r="K32" s="18"/>
      <c r="L32" s="11"/>
      <c r="M32" s="11"/>
      <c r="N32" s="16"/>
    </row>
    <row r="33" spans="1:14" ht="24.75" customHeight="1">
      <c r="A33" s="28" t="s">
        <v>7</v>
      </c>
      <c r="B33" s="26" t="s">
        <v>89</v>
      </c>
      <c r="C33" s="27">
        <v>0</v>
      </c>
      <c r="D33" s="27">
        <v>0</v>
      </c>
      <c r="E33" s="27">
        <v>0</v>
      </c>
      <c r="F33" s="27">
        <v>0</v>
      </c>
      <c r="G33" s="27">
        <f>'[1]виробн.'!H36+'[1]ДОДАТОК2'!F38+'[1]ДОДАТОК 3'!F32</f>
        <v>0</v>
      </c>
      <c r="H33" s="27">
        <v>0</v>
      </c>
      <c r="I33" s="27">
        <f>'[1]виробн.'!J36+'[1]ДОДАТОК2'!G38+'[1]ДОДАТОК 3'!G32</f>
        <v>0</v>
      </c>
      <c r="J33" s="27">
        <v>0</v>
      </c>
      <c r="K33" s="11"/>
      <c r="L33" s="11"/>
      <c r="M33" s="11"/>
      <c r="N33" s="16"/>
    </row>
    <row r="34" spans="1:14" ht="25.5" customHeight="1">
      <c r="A34" s="28" t="s">
        <v>8</v>
      </c>
      <c r="B34" s="26" t="s">
        <v>39</v>
      </c>
      <c r="C34" s="27">
        <v>0</v>
      </c>
      <c r="D34" s="27">
        <v>0</v>
      </c>
      <c r="E34" s="27">
        <v>0</v>
      </c>
      <c r="F34" s="27">
        <v>0</v>
      </c>
      <c r="G34" s="27">
        <f>'[1]виробн.'!H37+'[1]ДОДАТОК2'!F39+'[1]ДОДАТОК 3'!F33</f>
        <v>0</v>
      </c>
      <c r="H34" s="27">
        <v>0</v>
      </c>
      <c r="I34" s="27">
        <f>'[1]виробн.'!J37+'[1]ДОДАТОК2'!G39+'[1]ДОДАТОК 3'!G33</f>
        <v>0</v>
      </c>
      <c r="J34" s="27">
        <v>0</v>
      </c>
      <c r="K34" s="11"/>
      <c r="L34" s="11"/>
      <c r="M34" s="11"/>
      <c r="N34" s="16"/>
    </row>
    <row r="35" spans="1:14" ht="26.25" customHeight="1">
      <c r="A35" s="30" t="s">
        <v>10</v>
      </c>
      <c r="B35" s="31" t="s">
        <v>90</v>
      </c>
      <c r="C35" s="32">
        <f>C13+C29+C33+C34</f>
        <v>111357.125</v>
      </c>
      <c r="D35" s="32">
        <f aca="true" t="shared" si="4" ref="D35:J35">D13+D29+D33+D34</f>
        <v>2347.7349313739687</v>
      </c>
      <c r="E35" s="32">
        <f t="shared" si="4"/>
        <v>33024.977</v>
      </c>
      <c r="F35" s="32">
        <f t="shared" si="4"/>
        <v>1591.647506060574</v>
      </c>
      <c r="G35" s="32">
        <f t="shared" si="4"/>
        <v>65883.713</v>
      </c>
      <c r="H35" s="32">
        <f t="shared" si="4"/>
        <v>2762.0077668844265</v>
      </c>
      <c r="I35" s="32">
        <f t="shared" si="4"/>
        <v>12448.434999999998</v>
      </c>
      <c r="J35" s="32">
        <f t="shared" si="4"/>
        <v>4399.727679192468</v>
      </c>
      <c r="K35" s="18"/>
      <c r="L35" s="11"/>
      <c r="M35" s="11"/>
      <c r="N35" s="16"/>
    </row>
    <row r="36" spans="1:14" ht="25.5" customHeight="1">
      <c r="A36" s="30" t="s">
        <v>13</v>
      </c>
      <c r="B36" s="45" t="s">
        <v>238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11"/>
      <c r="L36" s="11"/>
      <c r="M36" s="11"/>
      <c r="N36" s="16"/>
    </row>
    <row r="37" spans="1:11" ht="21.75" customHeight="1">
      <c r="A37" s="28" t="s">
        <v>45</v>
      </c>
      <c r="B37" s="45" t="s">
        <v>239</v>
      </c>
      <c r="C37" s="32">
        <f>(((C41+C42)/((100-18)/100)))</f>
        <v>1855.7844878048784</v>
      </c>
      <c r="D37" s="32">
        <f>ROUND(C37/C48*1000,2)</f>
        <v>39.13</v>
      </c>
      <c r="E37" s="32">
        <f>(((E41+E42)/((100-18)/100)))</f>
        <v>1493.4430809419046</v>
      </c>
      <c r="F37" s="32">
        <f>ROUND(E37/E48*1000,2)</f>
        <v>71.98</v>
      </c>
      <c r="G37" s="32">
        <f>(((G41+G42)/((100-18)/100)))</f>
        <v>323.9199271944402</v>
      </c>
      <c r="H37" s="32">
        <f>ROUND(G37/G48*1000,2)</f>
        <v>13.58</v>
      </c>
      <c r="I37" s="32">
        <f>(((I41+I42)/((100-18)/100)))</f>
        <v>38.421479668533564</v>
      </c>
      <c r="J37" s="32">
        <f>ROUND(I37/I48*1000,2)</f>
        <v>13.58</v>
      </c>
      <c r="K37" s="18"/>
    </row>
    <row r="38" spans="1:11" ht="26.25" customHeight="1">
      <c r="A38" s="28" t="s">
        <v>46</v>
      </c>
      <c r="B38" s="26" t="s">
        <v>40</v>
      </c>
      <c r="C38" s="27">
        <f>C37*0.18</f>
        <v>334.04120780487807</v>
      </c>
      <c r="D38" s="27">
        <f>ROUND(C38/C48*1000,2)</f>
        <v>7.04</v>
      </c>
      <c r="E38" s="27">
        <f>E37*0.18</f>
        <v>268.8197545695428</v>
      </c>
      <c r="F38" s="27">
        <f>ROUND(E38/E48*1000,2)</f>
        <v>12.96</v>
      </c>
      <c r="G38" s="27">
        <f>G37*0.18</f>
        <v>58.30558689499924</v>
      </c>
      <c r="H38" s="27">
        <f>ROUND(G38/G48*1000,2)</f>
        <v>2.44</v>
      </c>
      <c r="I38" s="27">
        <f>I37*0.18</f>
        <v>6.915866340336041</v>
      </c>
      <c r="J38" s="27">
        <v>15.07</v>
      </c>
      <c r="K38" s="18"/>
    </row>
    <row r="39" spans="1:10" ht="24" customHeight="1">
      <c r="A39" s="28" t="s">
        <v>47</v>
      </c>
      <c r="B39" s="26" t="s">
        <v>96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</row>
    <row r="40" spans="1:10" ht="27" customHeight="1">
      <c r="A40" s="28" t="s">
        <v>240</v>
      </c>
      <c r="B40" s="26" t="s">
        <v>41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</row>
    <row r="41" spans="1:11" ht="42" customHeight="1">
      <c r="A41" s="28" t="s">
        <v>241</v>
      </c>
      <c r="B41" s="26" t="s">
        <v>42</v>
      </c>
      <c r="C41" s="27">
        <f>E41+G41+I41</f>
        <v>789.14</v>
      </c>
      <c r="D41" s="27">
        <f>ROUND(C41/C48*1000,2)</f>
        <v>16.64</v>
      </c>
      <c r="E41" s="27">
        <f>Вироб!E43+'Трансп.'!E43+'Постач.'!E39</f>
        <v>564.1188063723614</v>
      </c>
      <c r="F41" s="27">
        <f>ROUND(E41/E48*1000,2)</f>
        <v>27.19</v>
      </c>
      <c r="G41" s="27">
        <f>Вироб!G43+'Трансп.'!G43+'Постач.'!G39</f>
        <v>201.160700299441</v>
      </c>
      <c r="H41" s="27">
        <f>ROUND(G41/G48*1000,2)</f>
        <v>8.43</v>
      </c>
      <c r="I41" s="27">
        <f>Вироб!I43+'Трансп.'!I43+'Постач.'!I39</f>
        <v>23.860493328197524</v>
      </c>
      <c r="J41" s="27">
        <f>ROUND(I41/I48*1000,2)</f>
        <v>8.43</v>
      </c>
      <c r="K41" s="18"/>
    </row>
    <row r="42" spans="1:11" ht="24.75" customHeight="1">
      <c r="A42" s="28" t="s">
        <v>242</v>
      </c>
      <c r="B42" s="26" t="s">
        <v>43</v>
      </c>
      <c r="C42" s="27">
        <f>E42+G42+I42</f>
        <v>732.6032800000002</v>
      </c>
      <c r="D42" s="27">
        <f>ROUND(C42/C48*1000,2)</f>
        <v>15.45</v>
      </c>
      <c r="E42" s="27">
        <f>Вироб!E44+'Трансп.'!E44+'Постач.'!E40</f>
        <v>660.5045200000001</v>
      </c>
      <c r="F42" s="27">
        <f>ROUND(E42/E48*1000,2)</f>
        <v>31.83</v>
      </c>
      <c r="G42" s="27">
        <f>Вироб!G44+'Трансп.'!G44+'Постач.'!G40</f>
        <v>64.45364000000001</v>
      </c>
      <c r="H42" s="27">
        <f>ROUND(G42/G48*1000,2)</f>
        <v>2.7</v>
      </c>
      <c r="I42" s="27">
        <f>Вироб!I44+'Трансп.'!I44+'Постач.'!I40</f>
        <v>7.645119999999999</v>
      </c>
      <c r="J42" s="27">
        <f>ROUND(I42/I48*1000,2)</f>
        <v>2.7</v>
      </c>
      <c r="K42" s="18"/>
    </row>
    <row r="43" spans="1:11" ht="45.75" customHeight="1">
      <c r="A43" s="28" t="s">
        <v>48</v>
      </c>
      <c r="B43" s="26" t="s">
        <v>243</v>
      </c>
      <c r="C43" s="27">
        <f>E43+G43+I43</f>
        <v>113212.90948780486</v>
      </c>
      <c r="D43" s="32">
        <f aca="true" t="shared" si="5" ref="D43:J43">D35+D36+D37</f>
        <v>2386.864931373969</v>
      </c>
      <c r="E43" s="32">
        <f t="shared" si="5"/>
        <v>34518.420080941905</v>
      </c>
      <c r="F43" s="32">
        <f t="shared" si="5"/>
        <v>1663.627506060574</v>
      </c>
      <c r="G43" s="32">
        <f t="shared" si="5"/>
        <v>66207.63292719444</v>
      </c>
      <c r="H43" s="32">
        <f t="shared" si="5"/>
        <v>2775.5877668844264</v>
      </c>
      <c r="I43" s="32">
        <f t="shared" si="5"/>
        <v>12486.856479668531</v>
      </c>
      <c r="J43" s="32">
        <f t="shared" si="5"/>
        <v>4413.307679192468</v>
      </c>
      <c r="K43" s="18"/>
    </row>
    <row r="44" spans="1:11" ht="46.5" customHeight="1">
      <c r="A44" s="28" t="s">
        <v>49</v>
      </c>
      <c r="B44" s="26" t="s">
        <v>244</v>
      </c>
      <c r="C44" s="27"/>
      <c r="D44" s="32">
        <f>D43</f>
        <v>2386.864931373969</v>
      </c>
      <c r="E44" s="27"/>
      <c r="F44" s="49">
        <f>F43</f>
        <v>1663.627506060574</v>
      </c>
      <c r="G44" s="27"/>
      <c r="H44" s="32">
        <f>H43</f>
        <v>2775.5877668844264</v>
      </c>
      <c r="I44" s="27"/>
      <c r="J44" s="32">
        <f>J43</f>
        <v>4413.307679192468</v>
      </c>
      <c r="K44" s="11"/>
    </row>
    <row r="45" spans="1:10" ht="24.75" customHeight="1">
      <c r="A45" s="28" t="s">
        <v>50</v>
      </c>
      <c r="B45" s="26" t="s">
        <v>91</v>
      </c>
      <c r="C45" s="27">
        <f>C37/C35*100</f>
        <v>1.6665161639229444</v>
      </c>
      <c r="D45" s="27"/>
      <c r="E45" s="27">
        <f>E37/E35*100</f>
        <v>4.52216236499394</v>
      </c>
      <c r="F45" s="50"/>
      <c r="G45" s="27">
        <f>G37/G35*100</f>
        <v>0.49165402562305527</v>
      </c>
      <c r="H45" s="27"/>
      <c r="I45" s="27">
        <f>I37/I35*100</f>
        <v>0.30864505994957253</v>
      </c>
      <c r="J45" s="27"/>
    </row>
    <row r="46" spans="1:10" ht="31.5" customHeight="1">
      <c r="A46" s="28" t="s">
        <v>51</v>
      </c>
      <c r="B46" s="26" t="s">
        <v>245</v>
      </c>
      <c r="C46" s="27"/>
      <c r="D46" s="49">
        <f>D43*0.2</f>
        <v>477.3729862747938</v>
      </c>
      <c r="E46" s="27"/>
      <c r="F46" s="49">
        <f>ROUND(F43*0.2,2)</f>
        <v>332.73</v>
      </c>
      <c r="G46" s="27"/>
      <c r="H46" s="32">
        <f>ROUND(H44*0.2,2)</f>
        <v>555.12</v>
      </c>
      <c r="I46" s="27"/>
      <c r="J46" s="32">
        <f>J44*0.2</f>
        <v>882.6615358384936</v>
      </c>
    </row>
    <row r="47" spans="1:10" ht="53.25" customHeight="1">
      <c r="A47" s="28" t="s">
        <v>52</v>
      </c>
      <c r="B47" s="26" t="s">
        <v>246</v>
      </c>
      <c r="C47" s="27"/>
      <c r="D47" s="32">
        <f>ROUND(D43+D46,1)</f>
        <v>2864.2</v>
      </c>
      <c r="E47" s="27"/>
      <c r="F47" s="32">
        <f>F43+F46</f>
        <v>1996.357506060574</v>
      </c>
      <c r="G47" s="27"/>
      <c r="H47" s="32">
        <f>H43+H46</f>
        <v>3330.7077668844263</v>
      </c>
      <c r="I47" s="27"/>
      <c r="J47" s="32">
        <f>J43+J46</f>
        <v>5295.969215030961</v>
      </c>
    </row>
    <row r="48" spans="1:10" ht="53.25" customHeight="1">
      <c r="A48" s="28" t="s">
        <v>53</v>
      </c>
      <c r="B48" s="31" t="s">
        <v>247</v>
      </c>
      <c r="C48" s="32">
        <f>E48+G48+I48</f>
        <v>47431.71000000001</v>
      </c>
      <c r="D48" s="32"/>
      <c r="E48" s="32">
        <v>20748.86</v>
      </c>
      <c r="F48" s="32"/>
      <c r="G48" s="32">
        <v>23853.49</v>
      </c>
      <c r="H48" s="32"/>
      <c r="I48" s="32">
        <v>2829.36</v>
      </c>
      <c r="J48" s="32"/>
    </row>
    <row r="49" spans="1:10" ht="23.25">
      <c r="A49" s="52"/>
      <c r="B49" s="11"/>
      <c r="C49" s="11"/>
      <c r="D49" s="11"/>
      <c r="E49" s="11"/>
      <c r="F49" s="11"/>
      <c r="G49" s="11"/>
      <c r="H49" s="33"/>
      <c r="I49" s="11"/>
      <c r="J49" s="147"/>
    </row>
    <row r="50" spans="1:10" ht="20.25">
      <c r="A50" s="261" t="s">
        <v>261</v>
      </c>
      <c r="B50" s="184"/>
      <c r="C50" s="184"/>
      <c r="D50" s="184"/>
      <c r="E50" s="184"/>
      <c r="F50" s="184"/>
      <c r="G50" s="184"/>
      <c r="H50" s="184"/>
      <c r="I50" s="184"/>
      <c r="J50" s="184"/>
    </row>
    <row r="51" spans="1:10" ht="18">
      <c r="A51" s="11"/>
      <c r="B51" s="11"/>
      <c r="C51" s="18"/>
      <c r="D51" s="18"/>
      <c r="E51" s="18"/>
      <c r="F51" s="11"/>
      <c r="G51" s="18"/>
      <c r="H51" s="11"/>
      <c r="I51" s="18"/>
      <c r="J51" s="11"/>
    </row>
    <row r="52" spans="1:10" ht="23.25">
      <c r="A52" s="11"/>
      <c r="B52" s="52"/>
      <c r="C52" s="11"/>
      <c r="D52" s="11"/>
      <c r="E52" s="11"/>
      <c r="F52" s="11"/>
      <c r="G52" s="11"/>
      <c r="H52" s="11"/>
      <c r="I52" s="33"/>
      <c r="J52" s="11"/>
    </row>
    <row r="53" spans="1:10" ht="18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 spans="1:10" ht="18">
      <c r="A54" s="11"/>
      <c r="B54" s="11"/>
      <c r="C54" s="11"/>
      <c r="D54" s="11"/>
      <c r="E54" s="11"/>
      <c r="F54" s="11"/>
      <c r="G54" s="11"/>
      <c r="H54" s="11"/>
      <c r="I54" s="11"/>
      <c r="J54" s="11"/>
    </row>
    <row r="55" spans="1:10" ht="18">
      <c r="A55" s="11"/>
      <c r="B55" s="11"/>
      <c r="C55" s="11"/>
      <c r="D55" s="11"/>
      <c r="E55" s="11"/>
      <c r="F55" s="11"/>
      <c r="G55" s="11"/>
      <c r="H55" s="11"/>
      <c r="I55" s="11"/>
      <c r="J55" s="11"/>
    </row>
  </sheetData>
  <sheetProtection/>
  <mergeCells count="14">
    <mergeCell ref="C10:D10"/>
    <mergeCell ref="E10:F10"/>
    <mergeCell ref="G10:H10"/>
    <mergeCell ref="I10:J10"/>
    <mergeCell ref="A50:J50"/>
    <mergeCell ref="H1:J1"/>
    <mergeCell ref="F2:J2"/>
    <mergeCell ref="G3:J3"/>
    <mergeCell ref="G4:J4"/>
    <mergeCell ref="A5:J5"/>
    <mergeCell ref="A6:J6"/>
    <mergeCell ref="A7:J7"/>
    <mergeCell ref="A10:A11"/>
    <mergeCell ref="B10:B11"/>
  </mergeCells>
  <printOptions/>
  <pageMargins left="0.48" right="0.53" top="0.7480314960629921" bottom="0.7480314960629921" header="0.31496062992125984" footer="0.31496062992125984"/>
  <pageSetup horizontalDpi="600" verticalDpi="600" orientation="portrait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5"/>
  <sheetViews>
    <sheetView view="pageBreakPreview" zoomScale="60" zoomScaleNormal="64" zoomScalePageLayoutView="0" workbookViewId="0" topLeftCell="A28">
      <selection activeCell="J41" sqref="J41"/>
    </sheetView>
  </sheetViews>
  <sheetFormatPr defaultColWidth="9.00390625" defaultRowHeight="12.75"/>
  <cols>
    <col min="1" max="1" width="21.75390625" style="1" customWidth="1"/>
    <col min="2" max="2" width="78.125" style="1" customWidth="1"/>
    <col min="3" max="3" width="19.25390625" style="1" customWidth="1"/>
    <col min="4" max="4" width="17.00390625" style="1" customWidth="1"/>
    <col min="5" max="5" width="18.125" style="1" customWidth="1"/>
    <col min="6" max="6" width="17.75390625" style="1" customWidth="1"/>
    <col min="7" max="8" width="17.875" style="1" customWidth="1"/>
    <col min="9" max="9" width="17.625" style="1" customWidth="1"/>
    <col min="10" max="10" width="15.25390625" style="1" customWidth="1"/>
    <col min="11" max="11" width="20.375" style="1" hidden="1" customWidth="1"/>
    <col min="12" max="12" width="19.125" style="1" customWidth="1"/>
    <col min="13" max="13" width="11.125" style="1" customWidth="1"/>
    <col min="14" max="14" width="11.375" style="1" bestFit="1" customWidth="1"/>
    <col min="15" max="15" width="14.75390625" style="1" customWidth="1"/>
    <col min="16" max="16384" width="9.125" style="1" customWidth="1"/>
  </cols>
  <sheetData>
    <row r="1" spans="8:10" ht="19.5" customHeight="1">
      <c r="H1" s="145"/>
      <c r="I1" s="262" t="s">
        <v>93</v>
      </c>
      <c r="J1" s="192"/>
    </row>
    <row r="2" spans="8:10" ht="21" customHeight="1">
      <c r="H2" s="262" t="s">
        <v>221</v>
      </c>
      <c r="I2" s="263"/>
      <c r="J2" s="263"/>
    </row>
    <row r="3" spans="1:10" ht="27.75" customHeight="1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0" ht="29.25" customHeight="1">
      <c r="A4" s="271" t="s">
        <v>248</v>
      </c>
      <c r="B4" s="272"/>
      <c r="C4" s="272"/>
      <c r="D4" s="272"/>
      <c r="E4" s="272"/>
      <c r="F4" s="272"/>
      <c r="G4" s="272"/>
      <c r="H4" s="272"/>
      <c r="I4" s="272"/>
      <c r="J4" s="272"/>
    </row>
    <row r="5" spans="1:10" ht="57" customHeight="1">
      <c r="A5" s="201" t="s">
        <v>267</v>
      </c>
      <c r="B5" s="202"/>
      <c r="C5" s="202"/>
      <c r="D5" s="202"/>
      <c r="E5" s="202"/>
      <c r="F5" s="202"/>
      <c r="G5" s="202"/>
      <c r="H5" s="202"/>
      <c r="I5" s="202"/>
      <c r="J5" s="202"/>
    </row>
    <row r="6" spans="1:10" ht="25.5">
      <c r="A6" s="22"/>
      <c r="B6" s="22"/>
      <c r="C6" s="22"/>
      <c r="D6" s="22"/>
      <c r="E6" s="22"/>
      <c r="F6" s="22"/>
      <c r="G6" s="22"/>
      <c r="H6" s="22"/>
      <c r="I6" s="149"/>
      <c r="J6" s="149"/>
    </row>
    <row r="7" spans="1:14" ht="81" customHeight="1">
      <c r="A7" s="193" t="s">
        <v>16</v>
      </c>
      <c r="B7" s="265" t="s">
        <v>17</v>
      </c>
      <c r="C7" s="267" t="s">
        <v>18</v>
      </c>
      <c r="D7" s="268"/>
      <c r="E7" s="269" t="s">
        <v>224</v>
      </c>
      <c r="F7" s="270"/>
      <c r="G7" s="269" t="s">
        <v>225</v>
      </c>
      <c r="H7" s="270"/>
      <c r="I7" s="269" t="s">
        <v>249</v>
      </c>
      <c r="J7" s="270"/>
      <c r="M7" s="12"/>
      <c r="N7" s="12"/>
    </row>
    <row r="8" spans="1:16" ht="52.5" customHeight="1">
      <c r="A8" s="273"/>
      <c r="B8" s="266"/>
      <c r="C8" s="25" t="s">
        <v>227</v>
      </c>
      <c r="D8" s="25" t="s">
        <v>88</v>
      </c>
      <c r="E8" s="25" t="s">
        <v>227</v>
      </c>
      <c r="F8" s="25" t="s">
        <v>88</v>
      </c>
      <c r="G8" s="25" t="s">
        <v>227</v>
      </c>
      <c r="H8" s="25" t="s">
        <v>88</v>
      </c>
      <c r="I8" s="25" t="s">
        <v>227</v>
      </c>
      <c r="J8" s="25" t="s">
        <v>88</v>
      </c>
      <c r="L8" s="150"/>
      <c r="M8" s="151"/>
      <c r="N8" s="151"/>
      <c r="O8" s="150"/>
      <c r="P8" s="150"/>
    </row>
    <row r="9" spans="1:16" ht="22.5" customHeight="1">
      <c r="A9" s="25">
        <v>1</v>
      </c>
      <c r="B9" s="25">
        <v>2</v>
      </c>
      <c r="C9" s="25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1"/>
      <c r="L9" s="152"/>
      <c r="M9" s="151"/>
      <c r="N9" s="151"/>
      <c r="O9" s="150"/>
      <c r="P9" s="150"/>
    </row>
    <row r="10" spans="1:16" ht="27" customHeight="1">
      <c r="A10" s="30">
        <v>1</v>
      </c>
      <c r="B10" s="31" t="s">
        <v>169</v>
      </c>
      <c r="C10" s="32">
        <f>C12+C18+C19+C23</f>
        <v>101983.11</v>
      </c>
      <c r="D10" s="32">
        <f>C10/C49*1000</f>
        <v>1985.6211379843894</v>
      </c>
      <c r="E10" s="32">
        <f>E12+E18+E19+E23</f>
        <v>28924.350999999995</v>
      </c>
      <c r="F10" s="32">
        <f>E10/E49*1000</f>
        <v>1287.3788201069713</v>
      </c>
      <c r="G10" s="32">
        <f>G12+G18+G19+G23</f>
        <v>61169.495</v>
      </c>
      <c r="H10" s="32">
        <f>H11+H23</f>
        <v>2368.2083312685063</v>
      </c>
      <c r="I10" s="32">
        <f>I12+I18+I19+I23</f>
        <v>11889.262</v>
      </c>
      <c r="J10" s="32">
        <f>I10/I49*1000</f>
        <v>3880.636738104409</v>
      </c>
      <c r="K10" s="118">
        <f>C10+'Трансп.'!C11+'Постач.'!C11</f>
        <v>108157.78</v>
      </c>
      <c r="L10" s="90"/>
      <c r="M10" s="90"/>
      <c r="N10" s="90"/>
      <c r="O10" s="90"/>
      <c r="P10" s="150"/>
    </row>
    <row r="11" spans="1:16" ht="26.25" customHeight="1">
      <c r="A11" s="28"/>
      <c r="B11" s="29" t="s">
        <v>92</v>
      </c>
      <c r="C11" s="153">
        <f>C12+C18+C19</f>
        <v>99586.13</v>
      </c>
      <c r="D11" s="32">
        <f>C11/C49*1000</f>
        <v>1938.9517026697984</v>
      </c>
      <c r="E11" s="153">
        <f>E12+E18+E19</f>
        <v>27875.799999999996</v>
      </c>
      <c r="F11" s="32">
        <f>E11/E49*1000</f>
        <v>1240.7094117181025</v>
      </c>
      <c r="G11" s="153">
        <f>G12+G18+G19</f>
        <v>59964.05</v>
      </c>
      <c r="H11" s="32">
        <f>H12+H18+H19</f>
        <v>2321.5389106384036</v>
      </c>
      <c r="I11" s="153">
        <f>I12+I18+I19</f>
        <v>11746.279</v>
      </c>
      <c r="J11" s="32">
        <f>I11/I49*1000</f>
        <v>3833.96730793083</v>
      </c>
      <c r="K11" s="90">
        <f>C11+'Трансп.'!C12+'Постач.'!C12</f>
        <v>105572.1</v>
      </c>
      <c r="L11" s="154"/>
      <c r="M11" s="154"/>
      <c r="N11" s="154"/>
      <c r="O11" s="155"/>
      <c r="P11" s="150"/>
    </row>
    <row r="12" spans="1:16" ht="27" customHeight="1">
      <c r="A12" s="28" t="s">
        <v>2</v>
      </c>
      <c r="B12" s="26" t="s">
        <v>170</v>
      </c>
      <c r="C12" s="27">
        <f>SUM(C13:C17)</f>
        <v>91367.33</v>
      </c>
      <c r="D12" s="32">
        <f>C12/C49*1000</f>
        <v>1778.9308618769837</v>
      </c>
      <c r="E12" s="27">
        <f>SUM(E13:E17)</f>
        <v>24280.51</v>
      </c>
      <c r="F12" s="32">
        <f>E12/E49*1000</f>
        <v>1080.6885283405502</v>
      </c>
      <c r="G12" s="27">
        <f>SUM(G13:G17)</f>
        <v>55830.8</v>
      </c>
      <c r="H12" s="32">
        <f>H13+H14+H15+H16+H17</f>
        <v>2161.5180197480086</v>
      </c>
      <c r="I12" s="27">
        <f>SUM(I13:I17)</f>
        <v>11256.016</v>
      </c>
      <c r="J12" s="32">
        <f>I12/I49*1000</f>
        <v>3673.94622259069</v>
      </c>
      <c r="K12" s="115"/>
      <c r="L12" s="154"/>
      <c r="M12" s="151"/>
      <c r="N12" s="151"/>
      <c r="O12" s="150"/>
      <c r="P12" s="150"/>
    </row>
    <row r="13" spans="1:16" ht="29.25" customHeight="1">
      <c r="A13" s="28" t="s">
        <v>23</v>
      </c>
      <c r="B13" s="26" t="s">
        <v>122</v>
      </c>
      <c r="C13" s="27">
        <f>E13+G13+I13</f>
        <v>89815.78</v>
      </c>
      <c r="D13" s="32">
        <f>C13/C49*1000</f>
        <v>1748.7220314477127</v>
      </c>
      <c r="E13" s="27">
        <f>ДОДАТОК1!F14</f>
        <v>23601.79</v>
      </c>
      <c r="F13" s="32">
        <f>E13/E49*1000</f>
        <v>1050.4797346226549</v>
      </c>
      <c r="G13" s="27">
        <v>55050.53</v>
      </c>
      <c r="H13" s="32">
        <f>G13/G49*1000</f>
        <v>2131.309467026773</v>
      </c>
      <c r="I13" s="27">
        <v>11163.46</v>
      </c>
      <c r="J13" s="32">
        <f>I13/I49*1000</f>
        <v>3643.7360872658905</v>
      </c>
      <c r="K13" s="111"/>
      <c r="L13" s="151"/>
      <c r="M13" s="151"/>
      <c r="N13" s="151"/>
      <c r="O13" s="150"/>
      <c r="P13" s="150"/>
    </row>
    <row r="14" spans="1:16" ht="25.5" customHeight="1">
      <c r="A14" s="28" t="s">
        <v>24</v>
      </c>
      <c r="B14" s="26" t="s">
        <v>123</v>
      </c>
      <c r="C14" s="27">
        <f>ДОДАТОК1!D15</f>
        <v>942.85</v>
      </c>
      <c r="D14" s="32">
        <f>C14/C49*1000</f>
        <v>18.357381824780415</v>
      </c>
      <c r="E14" s="27">
        <f>ROUND(C14/C49*E49,2)</f>
        <v>412.45</v>
      </c>
      <c r="F14" s="32">
        <f>E14/E49*1000</f>
        <v>18.357521465325892</v>
      </c>
      <c r="G14" s="27">
        <f>ROUND(C14/C49*G49,2)</f>
        <v>474.16</v>
      </c>
      <c r="H14" s="32">
        <f>G14/G49*1000</f>
        <v>18.357347275047392</v>
      </c>
      <c r="I14" s="27">
        <f>ROUND(C14/C49*I49,3)</f>
        <v>56.242</v>
      </c>
      <c r="J14" s="32">
        <f>I14/I49*1000</f>
        <v>18.357301859818392</v>
      </c>
      <c r="K14" s="111"/>
      <c r="L14" s="151"/>
      <c r="M14" s="151"/>
      <c r="N14" s="151"/>
      <c r="O14" s="150"/>
      <c r="P14" s="150"/>
    </row>
    <row r="15" spans="1:14" ht="25.5" customHeight="1">
      <c r="A15" s="28" t="s">
        <v>25</v>
      </c>
      <c r="B15" s="26" t="s">
        <v>124</v>
      </c>
      <c r="C15" s="27">
        <v>0</v>
      </c>
      <c r="D15" s="32">
        <f>C15/C49*1000</f>
        <v>0</v>
      </c>
      <c r="E15" s="27">
        <v>0</v>
      </c>
      <c r="F15" s="32">
        <f>E15/E49*1000</f>
        <v>0</v>
      </c>
      <c r="G15" s="27">
        <v>0</v>
      </c>
      <c r="H15" s="32">
        <f>G15/G49*1000</f>
        <v>0</v>
      </c>
      <c r="I15" s="27">
        <v>0</v>
      </c>
      <c r="J15" s="32">
        <f>I15/I49*1000</f>
        <v>0</v>
      </c>
      <c r="K15" s="111"/>
      <c r="L15" s="12"/>
      <c r="M15" s="12"/>
      <c r="N15" s="12"/>
    </row>
    <row r="16" spans="1:14" ht="26.25" customHeight="1">
      <c r="A16" s="28" t="s">
        <v>26</v>
      </c>
      <c r="B16" s="26" t="s">
        <v>125</v>
      </c>
      <c r="C16" s="27">
        <f>ДОДАТОК1!D17</f>
        <v>56.4</v>
      </c>
      <c r="D16" s="32">
        <f>C16/C49*1000</f>
        <v>1.09811352274234</v>
      </c>
      <c r="E16" s="27">
        <f>ROUND(C16/C49*E49,2)</f>
        <v>24.67</v>
      </c>
      <c r="F16" s="32">
        <f>E16/E49*1000</f>
        <v>1.0980241351669044</v>
      </c>
      <c r="G16" s="27">
        <f>ROUND(C16/C49*G49,2)</f>
        <v>28.36</v>
      </c>
      <c r="H16" s="32">
        <f>G16/G49*1000</f>
        <v>1.0979719266077779</v>
      </c>
      <c r="I16" s="27">
        <f>ROUND(C16/C49*I49,3)</f>
        <v>3.364</v>
      </c>
      <c r="J16" s="32">
        <f>I16/I49*1000</f>
        <v>1.0980043998511622</v>
      </c>
      <c r="K16" s="111"/>
      <c r="L16" s="12"/>
      <c r="M16" s="12"/>
      <c r="N16" s="12"/>
    </row>
    <row r="17" spans="1:14" ht="30" customHeight="1">
      <c r="A17" s="28" t="s">
        <v>27</v>
      </c>
      <c r="B17" s="26" t="s">
        <v>126</v>
      </c>
      <c r="C17" s="27">
        <f>ДОДАТОК1!D18</f>
        <v>552.3</v>
      </c>
      <c r="D17" s="32">
        <f>C17/C49*1000</f>
        <v>10.753335081748126</v>
      </c>
      <c r="E17" s="27">
        <f>ROUND(C17/C49*E49,2)</f>
        <v>241.6</v>
      </c>
      <c r="F17" s="32">
        <f>E17/E49*1000</f>
        <v>10.753248117402679</v>
      </c>
      <c r="G17" s="27">
        <f>ROUND(C17/C49*G49,2)</f>
        <v>277.75</v>
      </c>
      <c r="H17" s="32">
        <f>G17/G49*1000</f>
        <v>10.753233519580759</v>
      </c>
      <c r="I17" s="27">
        <f>ROUND(C17/C49*I49,2)</f>
        <v>32.95</v>
      </c>
      <c r="J17" s="32">
        <f>I17/I49*1000</f>
        <v>10.75482906512955</v>
      </c>
      <c r="K17" s="111"/>
      <c r="L17" s="12"/>
      <c r="M17" s="12"/>
      <c r="N17" s="12"/>
    </row>
    <row r="18" spans="1:15" ht="27.75" customHeight="1">
      <c r="A18" s="28" t="s">
        <v>3</v>
      </c>
      <c r="B18" s="26" t="s">
        <v>19</v>
      </c>
      <c r="C18" s="27">
        <f>ДОДАТОК1!D19</f>
        <v>6017.73</v>
      </c>
      <c r="D18" s="32">
        <f>C18/C49*1000</f>
        <v>117.16579236191953</v>
      </c>
      <c r="E18" s="27">
        <f>ROUND(C18/C49*E49,2)</f>
        <v>2632.44</v>
      </c>
      <c r="F18" s="32">
        <f>E18/E49*1000</f>
        <v>117.16589600238208</v>
      </c>
      <c r="G18" s="27">
        <f>ROUND(C18/C49*G49,2)</f>
        <v>3026.33</v>
      </c>
      <c r="H18" s="32">
        <f>G18/G49*1000</f>
        <v>117.1659161019364</v>
      </c>
      <c r="I18" s="27">
        <f>ROUND(C18/C49*I49,3)</f>
        <v>358.966</v>
      </c>
      <c r="J18" s="32">
        <f>I18/I49*1000</f>
        <v>117.16594750207264</v>
      </c>
      <c r="K18" s="111"/>
      <c r="L18" s="12"/>
      <c r="M18" s="20"/>
      <c r="N18" s="11"/>
      <c r="O18" s="17"/>
    </row>
    <row r="19" spans="1:15" ht="26.25" customHeight="1">
      <c r="A19" s="28" t="s">
        <v>28</v>
      </c>
      <c r="B19" s="26" t="s">
        <v>171</v>
      </c>
      <c r="C19" s="27">
        <f>C20+C21+C22</f>
        <v>2201.07</v>
      </c>
      <c r="D19" s="32">
        <f>C19/C49*1000</f>
        <v>42.855048430895074</v>
      </c>
      <c r="E19" s="27">
        <f>E20+E21+E22</f>
        <v>962.8499999999999</v>
      </c>
      <c r="F19" s="32">
        <f>E19/E49*1000</f>
        <v>42.8549873751704</v>
      </c>
      <c r="G19" s="27">
        <f>G20+G21+G22</f>
        <v>1106.92</v>
      </c>
      <c r="H19" s="32">
        <f>H20+H21+H22</f>
        <v>42.85497478845844</v>
      </c>
      <c r="I19" s="27">
        <f>I20+I21+I22</f>
        <v>131.297</v>
      </c>
      <c r="J19" s="32">
        <f>I19/I49*1000</f>
        <v>42.8551378380672</v>
      </c>
      <c r="K19" s="111"/>
      <c r="L19" s="11"/>
      <c r="M19" s="18"/>
      <c r="N19" s="18"/>
      <c r="O19" s="16"/>
    </row>
    <row r="20" spans="1:15" ht="25.5" customHeight="1">
      <c r="A20" s="28" t="s">
        <v>29</v>
      </c>
      <c r="B20" s="26" t="s">
        <v>172</v>
      </c>
      <c r="C20" s="27">
        <f>ДОДАТОК1!D21</f>
        <v>1298.24</v>
      </c>
      <c r="D20" s="32">
        <f>C20/C49*1000</f>
        <v>25.276859924911623</v>
      </c>
      <c r="E20" s="27">
        <f>ROUND(C20/C49*E49,2)</f>
        <v>567.91</v>
      </c>
      <c r="F20" s="32">
        <f>E20/E49*1000</f>
        <v>25.276809347492367</v>
      </c>
      <c r="G20" s="27">
        <f>ROUND(C20/C49*G49,2)</f>
        <v>652.89</v>
      </c>
      <c r="H20" s="32">
        <f>G20/G49*1000</f>
        <v>25.276970774434133</v>
      </c>
      <c r="I20" s="27">
        <f>ROUND(C20/C49*I49,3)</f>
        <v>77.442</v>
      </c>
      <c r="J20" s="32">
        <f>I20/I49*1000</f>
        <v>25.27694908836912</v>
      </c>
      <c r="K20" s="111"/>
      <c r="L20" s="18"/>
      <c r="M20" s="18"/>
      <c r="N20" s="11"/>
      <c r="O20" s="11"/>
    </row>
    <row r="21" spans="1:15" ht="21" customHeight="1">
      <c r="A21" s="28" t="s">
        <v>30</v>
      </c>
      <c r="B21" s="26" t="s">
        <v>101</v>
      </c>
      <c r="C21" s="27">
        <f>ДОДАТОК1!D22</f>
        <v>616.98</v>
      </c>
      <c r="D21" s="32">
        <f>C21/C49*1000</f>
        <v>12.012661015276045</v>
      </c>
      <c r="E21" s="27">
        <f>ROUND(C21/C49*E49,2)</f>
        <v>269.9</v>
      </c>
      <c r="F21" s="32">
        <f>E21/E49*1000</f>
        <v>12.012838025194467</v>
      </c>
      <c r="G21" s="27">
        <f>ROUND(C21/C49*G49,2)</f>
        <v>310.28</v>
      </c>
      <c r="H21" s="32">
        <f>G21/G49*1000</f>
        <v>12.012649132153078</v>
      </c>
      <c r="I21" s="27">
        <f>ROUND(C21/C49*I49,3)</f>
        <v>36.804</v>
      </c>
      <c r="J21" s="32">
        <f>I21/I49*1000</f>
        <v>12.012768707527403</v>
      </c>
      <c r="K21" s="111"/>
      <c r="L21" s="18"/>
      <c r="M21" s="11"/>
      <c r="N21" s="11"/>
      <c r="O21" s="11"/>
    </row>
    <row r="22" spans="1:12" ht="21.75" customHeight="1">
      <c r="A22" s="28" t="s">
        <v>31</v>
      </c>
      <c r="B22" s="26" t="s">
        <v>20</v>
      </c>
      <c r="C22" s="27">
        <f>ДОДАТОК1!D23</f>
        <v>285.85</v>
      </c>
      <c r="D22" s="32">
        <f>C22/C49*1000</f>
        <v>5.565527490707409</v>
      </c>
      <c r="E22" s="27">
        <f>ROUND(C22/C49*E49,2)</f>
        <v>125.04</v>
      </c>
      <c r="F22" s="32">
        <f>E22/E49*1000</f>
        <v>5.565340002483573</v>
      </c>
      <c r="G22" s="27">
        <f>ROUND(C22/C49*G49,2)</f>
        <v>143.75</v>
      </c>
      <c r="H22" s="32">
        <f>G22/G49*1000</f>
        <v>5.5653548818712295</v>
      </c>
      <c r="I22" s="27">
        <f>ROUND(C22/C49*I49,3)</f>
        <v>17.051</v>
      </c>
      <c r="J22" s="32">
        <f>I22/I49*1000</f>
        <v>5.56542004217068</v>
      </c>
      <c r="K22" s="111"/>
      <c r="L22" s="11"/>
    </row>
    <row r="23" spans="1:14" ht="25.5" customHeight="1">
      <c r="A23" s="28" t="s">
        <v>32</v>
      </c>
      <c r="B23" s="31" t="s">
        <v>173</v>
      </c>
      <c r="C23" s="27">
        <f>SUM(C24:C26)</f>
        <v>2396.98</v>
      </c>
      <c r="D23" s="32">
        <f>C23/C49*1000</f>
        <v>46.66943531459103</v>
      </c>
      <c r="E23" s="27">
        <f>SUM(E24:E26)</f>
        <v>1048.551</v>
      </c>
      <c r="F23" s="32">
        <f>E23/E49*1000</f>
        <v>46.66940838886878</v>
      </c>
      <c r="G23" s="27">
        <f>SUM(G24:G26)</f>
        <v>1205.4450000000002</v>
      </c>
      <c r="H23" s="32">
        <f>G23/G49*1000</f>
        <v>46.669420630102714</v>
      </c>
      <c r="I23" s="27">
        <f>SUM(I24:I26)</f>
        <v>142.983</v>
      </c>
      <c r="J23" s="32">
        <f>I23/I49*1000</f>
        <v>46.669430173578704</v>
      </c>
      <c r="K23" s="18"/>
      <c r="M23" s="17"/>
      <c r="N23" s="16"/>
    </row>
    <row r="24" spans="1:14" ht="21" customHeight="1">
      <c r="A24" s="28" t="s">
        <v>33</v>
      </c>
      <c r="B24" s="26" t="s">
        <v>21</v>
      </c>
      <c r="C24" s="27">
        <v>1277.34</v>
      </c>
      <c r="D24" s="32">
        <f>C24/C49*1000</f>
        <v>24.869934878363484</v>
      </c>
      <c r="E24" s="27">
        <f>ROUND(C24/C49*E49,3)</f>
        <v>558.768</v>
      </c>
      <c r="F24" s="32">
        <f>E24/E49*1000</f>
        <v>24.869912847950587</v>
      </c>
      <c r="G24" s="27">
        <f>ROUND(C24/C49*G49,3)</f>
        <v>642.376</v>
      </c>
      <c r="H24" s="32">
        <f>G24/G49*1000</f>
        <v>24.869915878935046</v>
      </c>
      <c r="I24" s="27">
        <f>ROUND(C24/C49*I49,3)</f>
        <v>76.195</v>
      </c>
      <c r="J24" s="32">
        <f>I24/I49*1000</f>
        <v>24.869930216010495</v>
      </c>
      <c r="K24" s="111"/>
      <c r="L24" s="17"/>
      <c r="M24" s="11"/>
      <c r="N24" s="16"/>
    </row>
    <row r="25" spans="1:14" ht="23.25" customHeight="1">
      <c r="A25" s="28" t="s">
        <v>34</v>
      </c>
      <c r="B25" s="26" t="s">
        <v>172</v>
      </c>
      <c r="C25" s="27">
        <v>262.32</v>
      </c>
      <c r="D25" s="32">
        <f>C25/C49*1000</f>
        <v>5.107396086627139</v>
      </c>
      <c r="E25" s="27">
        <f>ROUND(C25/C49*E49,3)</f>
        <v>114.751</v>
      </c>
      <c r="F25" s="32">
        <f>E25/E49*1000</f>
        <v>5.10739227947051</v>
      </c>
      <c r="G25" s="27">
        <f>ROUND(C25/C49*G49,3)</f>
        <v>131.921</v>
      </c>
      <c r="H25" s="32">
        <f>G25/G49*1000</f>
        <v>5.107389087800588</v>
      </c>
      <c r="I25" s="27">
        <f>ROUND(C25/C49*I49,3)</f>
        <v>15.648</v>
      </c>
      <c r="J25" s="32">
        <f>I25/I49*1000</f>
        <v>5.10748301096046</v>
      </c>
      <c r="K25" s="111"/>
      <c r="L25" s="11"/>
      <c r="M25" s="11"/>
      <c r="N25" s="16"/>
    </row>
    <row r="26" spans="1:14" ht="25.5" customHeight="1">
      <c r="A26" s="28" t="s">
        <v>35</v>
      </c>
      <c r="B26" s="26" t="s">
        <v>22</v>
      </c>
      <c r="C26" s="27">
        <v>857.32</v>
      </c>
      <c r="D26" s="32">
        <f>C26/C49*1000</f>
        <v>16.692104349600406</v>
      </c>
      <c r="E26" s="27">
        <f>ROUND(C26/C49*E49,3)</f>
        <v>375.032</v>
      </c>
      <c r="F26" s="32">
        <f>E26/E49*1000</f>
        <v>16.69210326144769</v>
      </c>
      <c r="G26" s="27">
        <f>ROUND(C26/C49*G49,3)</f>
        <v>431.148</v>
      </c>
      <c r="H26" s="32">
        <f>G26/G49*1000</f>
        <v>16.692115663367073</v>
      </c>
      <c r="I26" s="27">
        <f>ROUND(C26/C49*I49,3)</f>
        <v>51.14</v>
      </c>
      <c r="J26" s="32">
        <f>I26/I49*1000</f>
        <v>16.69201694660774</v>
      </c>
      <c r="K26" s="111"/>
      <c r="L26" s="11"/>
      <c r="M26" s="19"/>
      <c r="N26" s="19"/>
    </row>
    <row r="27" spans="1:14" ht="21" customHeight="1">
      <c r="A27" s="30" t="s">
        <v>4</v>
      </c>
      <c r="B27" s="31" t="s">
        <v>174</v>
      </c>
      <c r="C27" s="32">
        <f>SUM(C28:C30)</f>
        <v>2965.8599999999997</v>
      </c>
      <c r="D27" s="32">
        <f>C27/C49*1000</f>
        <v>57.74558461986873</v>
      </c>
      <c r="E27" s="32">
        <f>SUM(E28:E30)</f>
        <v>1297.4</v>
      </c>
      <c r="F27" s="32">
        <f>E27/E49*1000</f>
        <v>57.74529845827086</v>
      </c>
      <c r="G27" s="32">
        <f>SUM(G28:G30)</f>
        <v>1491.536</v>
      </c>
      <c r="H27" s="32">
        <f>G27/G49*1000</f>
        <v>57.74558023712478</v>
      </c>
      <c r="I27" s="32">
        <f>SUM(I28:I30)</f>
        <v>176.917</v>
      </c>
      <c r="J27" s="32">
        <f>I27/I49*1000</f>
        <v>57.74543531761834</v>
      </c>
      <c r="K27" s="111"/>
      <c r="L27" s="19"/>
      <c r="M27" s="17"/>
      <c r="N27" s="16"/>
    </row>
    <row r="28" spans="1:14" ht="22.5" customHeight="1">
      <c r="A28" s="28" t="s">
        <v>5</v>
      </c>
      <c r="B28" s="26" t="s">
        <v>21</v>
      </c>
      <c r="C28" s="27">
        <v>2195.52</v>
      </c>
      <c r="D28" s="32">
        <f>C28/C49*1000</f>
        <v>42.74698938743373</v>
      </c>
      <c r="E28" s="27">
        <f>ROUND(C28/C49*E49,2)</f>
        <v>960.42</v>
      </c>
      <c r="F28" s="32">
        <f>E28/E49*1000</f>
        <v>42.746831775314085</v>
      </c>
      <c r="G28" s="27">
        <f>ROUND(C28/C49*G49,3)</f>
        <v>1104.131</v>
      </c>
      <c r="H28" s="32">
        <f>G28/G49*1000</f>
        <v>42.74699722487209</v>
      </c>
      <c r="I28" s="27">
        <f>ROUND(C28/C49*I49,3)</f>
        <v>130.966</v>
      </c>
      <c r="J28" s="32">
        <f>I28/I49*1000</f>
        <v>42.74709994973464</v>
      </c>
      <c r="K28" s="111"/>
      <c r="L28" s="17"/>
      <c r="M28" s="11"/>
      <c r="N28" s="16"/>
    </row>
    <row r="29" spans="1:14" ht="25.5" customHeight="1">
      <c r="A29" s="28" t="s">
        <v>6</v>
      </c>
      <c r="B29" s="26" t="s">
        <v>172</v>
      </c>
      <c r="C29" s="27">
        <v>452.1</v>
      </c>
      <c r="D29" s="32">
        <f>C29/C49*1000</f>
        <v>8.802431270067588</v>
      </c>
      <c r="E29" s="27">
        <f>ROUND(C29/C49*E49,2)</f>
        <v>197.77</v>
      </c>
      <c r="F29" s="32">
        <f>E29/E49*1000</f>
        <v>8.80244155703116</v>
      </c>
      <c r="G29" s="27">
        <f>ROUND(C29/C49*G49,3)</f>
        <v>227.362</v>
      </c>
      <c r="H29" s="32">
        <f>G29/G49*1000</f>
        <v>8.802436289753087</v>
      </c>
      <c r="I29" s="27">
        <f>ROUND(C29/C49*I49,3)</f>
        <v>26.968</v>
      </c>
      <c r="J29" s="32">
        <f>I29/I49*1000</f>
        <v>8.802313512243208</v>
      </c>
      <c r="K29" s="111"/>
      <c r="L29" s="11"/>
      <c r="M29" s="11"/>
      <c r="N29" s="16"/>
    </row>
    <row r="30" spans="1:14" ht="27.75" customHeight="1">
      <c r="A30" s="28" t="s">
        <v>36</v>
      </c>
      <c r="B30" s="26" t="s">
        <v>22</v>
      </c>
      <c r="C30" s="27">
        <v>318.24</v>
      </c>
      <c r="D30" s="32">
        <f>C30/C49*1000</f>
        <v>6.196163962367416</v>
      </c>
      <c r="E30" s="27">
        <f>ROUND(C30/C49*E49,2)</f>
        <v>139.21</v>
      </c>
      <c r="F30" s="32">
        <f>E30/E49*1000</f>
        <v>6.196025125925609</v>
      </c>
      <c r="G30" s="27">
        <f>ROUND(C30/C49*G49,3)</f>
        <v>160.043</v>
      </c>
      <c r="H30" s="32">
        <f>G30/G49*1000</f>
        <v>6.196146722499598</v>
      </c>
      <c r="I30" s="27">
        <f>ROUND(C30/C49*I49,3)</f>
        <v>18.983</v>
      </c>
      <c r="J30" s="32">
        <f>I30/I49*1000</f>
        <v>6.196021855640492</v>
      </c>
      <c r="K30" s="111"/>
      <c r="L30" s="11"/>
      <c r="M30" s="11"/>
      <c r="N30" s="16"/>
    </row>
    <row r="31" spans="1:14" ht="23.25" customHeight="1">
      <c r="A31" s="30" t="s">
        <v>7</v>
      </c>
      <c r="B31" s="31" t="s">
        <v>175</v>
      </c>
      <c r="C31" s="27">
        <f>C32+C33+C34</f>
        <v>0</v>
      </c>
      <c r="D31" s="32">
        <f>C31/C49*1000</f>
        <v>0</v>
      </c>
      <c r="E31" s="27">
        <f>E32+E33+E34</f>
        <v>0</v>
      </c>
      <c r="F31" s="32">
        <f>E31/E49*1000</f>
        <v>0</v>
      </c>
      <c r="G31" s="27">
        <f>G32+G33+G34</f>
        <v>0</v>
      </c>
      <c r="H31" s="32">
        <f>G31/G49*1000</f>
        <v>0</v>
      </c>
      <c r="I31" s="27">
        <f>I32+I33+I34</f>
        <v>0</v>
      </c>
      <c r="J31" s="32">
        <f>I31/I49*1000</f>
        <v>0</v>
      </c>
      <c r="K31" s="18"/>
      <c r="L31" s="11"/>
      <c r="M31" s="11"/>
      <c r="N31" s="16"/>
    </row>
    <row r="32" spans="1:14" ht="23.25" customHeight="1">
      <c r="A32" s="28" t="s">
        <v>37</v>
      </c>
      <c r="B32" s="26" t="s">
        <v>21</v>
      </c>
      <c r="C32" s="27">
        <v>0</v>
      </c>
      <c r="D32" s="32">
        <f>C32/C49*1000</f>
        <v>0</v>
      </c>
      <c r="E32" s="27">
        <v>0</v>
      </c>
      <c r="F32" s="32">
        <f>E32/E49*1000</f>
        <v>0</v>
      </c>
      <c r="G32" s="27">
        <v>0</v>
      </c>
      <c r="H32" s="32">
        <f>G32/G49*1000</f>
        <v>0</v>
      </c>
      <c r="I32" s="27">
        <v>0</v>
      </c>
      <c r="J32" s="32">
        <f>I32/I49*1000</f>
        <v>0</v>
      </c>
      <c r="K32" s="18"/>
      <c r="L32" s="11"/>
      <c r="M32" s="11"/>
      <c r="N32" s="16"/>
    </row>
    <row r="33" spans="1:14" ht="23.25" customHeight="1">
      <c r="A33" s="28" t="s">
        <v>38</v>
      </c>
      <c r="B33" s="26" t="s">
        <v>172</v>
      </c>
      <c r="C33" s="27">
        <v>0</v>
      </c>
      <c r="D33" s="32">
        <f>C33/C49*1000</f>
        <v>0</v>
      </c>
      <c r="E33" s="27">
        <v>0</v>
      </c>
      <c r="F33" s="32">
        <f>E33/E49*1000</f>
        <v>0</v>
      </c>
      <c r="G33" s="27">
        <v>0</v>
      </c>
      <c r="H33" s="32">
        <f>G33/G49*1000</f>
        <v>0</v>
      </c>
      <c r="I33" s="27">
        <v>0</v>
      </c>
      <c r="J33" s="32">
        <f>I33/I49*1000</f>
        <v>0</v>
      </c>
      <c r="K33" s="18"/>
      <c r="L33" s="11"/>
      <c r="M33" s="11"/>
      <c r="N33" s="16"/>
    </row>
    <row r="34" spans="1:14" ht="17.25" customHeight="1">
      <c r="A34" s="28" t="s">
        <v>163</v>
      </c>
      <c r="B34" s="26" t="s">
        <v>22</v>
      </c>
      <c r="C34" s="27">
        <v>0</v>
      </c>
      <c r="D34" s="32">
        <f>C34/C49*1000</f>
        <v>0</v>
      </c>
      <c r="E34" s="27">
        <v>0</v>
      </c>
      <c r="F34" s="32">
        <f>E34/E49*1000</f>
        <v>0</v>
      </c>
      <c r="G34" s="27">
        <v>0</v>
      </c>
      <c r="H34" s="32">
        <f>G34/G49*1000</f>
        <v>0</v>
      </c>
      <c r="I34" s="27">
        <v>0</v>
      </c>
      <c r="J34" s="32">
        <f>I34/I49*1000</f>
        <v>0</v>
      </c>
      <c r="K34" s="18"/>
      <c r="L34" s="11"/>
      <c r="M34" s="11"/>
      <c r="N34" s="16"/>
    </row>
    <row r="35" spans="1:14" ht="19.5" customHeight="1">
      <c r="A35" s="30" t="s">
        <v>8</v>
      </c>
      <c r="B35" s="26" t="s">
        <v>89</v>
      </c>
      <c r="C35" s="27">
        <v>0</v>
      </c>
      <c r="D35" s="32">
        <f>C35/C49*1000</f>
        <v>0</v>
      </c>
      <c r="E35" s="27">
        <v>0</v>
      </c>
      <c r="F35" s="32">
        <f>E35/E49*1000</f>
        <v>0</v>
      </c>
      <c r="G35" s="27">
        <v>0</v>
      </c>
      <c r="H35" s="32">
        <f>G35/G49*1000</f>
        <v>0</v>
      </c>
      <c r="I35" s="27">
        <v>0</v>
      </c>
      <c r="J35" s="32">
        <f>I35/I49*1000</f>
        <v>0</v>
      </c>
      <c r="K35" s="18"/>
      <c r="L35" s="11"/>
      <c r="M35" s="11"/>
      <c r="N35" s="16"/>
    </row>
    <row r="36" spans="1:14" ht="19.5" customHeight="1">
      <c r="A36" s="30" t="s">
        <v>10</v>
      </c>
      <c r="B36" s="26" t="s">
        <v>39</v>
      </c>
      <c r="C36" s="27">
        <v>0</v>
      </c>
      <c r="D36" s="32">
        <f>C36/C49*1000</f>
        <v>0</v>
      </c>
      <c r="E36" s="27">
        <v>0</v>
      </c>
      <c r="F36" s="32">
        <f>E36/E49*1000</f>
        <v>0</v>
      </c>
      <c r="G36" s="27">
        <v>0</v>
      </c>
      <c r="H36" s="32">
        <f>G36/G49*1000</f>
        <v>0</v>
      </c>
      <c r="I36" s="27">
        <v>0</v>
      </c>
      <c r="J36" s="32">
        <f>I36/I49*1000</f>
        <v>0</v>
      </c>
      <c r="K36" s="11"/>
      <c r="L36" s="11"/>
      <c r="M36" s="11"/>
      <c r="N36" s="16"/>
    </row>
    <row r="37" spans="1:14" ht="21" customHeight="1">
      <c r="A37" s="30" t="s">
        <v>13</v>
      </c>
      <c r="B37" s="31" t="s">
        <v>90</v>
      </c>
      <c r="C37" s="32">
        <f aca="true" t="shared" si="0" ref="C37:I37">C10+C27+C31+C35+C36</f>
        <v>104948.97</v>
      </c>
      <c r="D37" s="32">
        <f t="shared" si="0"/>
        <v>2043.366722604258</v>
      </c>
      <c r="E37" s="32">
        <f t="shared" si="0"/>
        <v>30221.750999999997</v>
      </c>
      <c r="F37" s="32">
        <f t="shared" si="0"/>
        <v>1345.124118565242</v>
      </c>
      <c r="G37" s="32">
        <f t="shared" si="0"/>
        <v>62661.031</v>
      </c>
      <c r="H37" s="32">
        <f>ROUND(H10+H27+H31+H35+H36,2)</f>
        <v>2425.95</v>
      </c>
      <c r="I37" s="32">
        <f t="shared" si="0"/>
        <v>12066.179</v>
      </c>
      <c r="J37" s="32">
        <f>ROUND(J10+J27+J31+J35+J36,2)</f>
        <v>3938.38</v>
      </c>
      <c r="K37" s="111"/>
      <c r="L37" s="18"/>
      <c r="M37" s="11"/>
      <c r="N37" s="16"/>
    </row>
    <row r="38" spans="1:14" ht="22.5" customHeight="1">
      <c r="A38" s="30" t="s">
        <v>45</v>
      </c>
      <c r="B38" s="45" t="s">
        <v>127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f>I38/I49*1000</f>
        <v>0</v>
      </c>
      <c r="K38" s="111"/>
      <c r="L38" s="11"/>
      <c r="M38" s="11"/>
      <c r="N38" s="16"/>
    </row>
    <row r="39" spans="1:12" ht="24.75" customHeight="1">
      <c r="A39" s="30" t="s">
        <v>48</v>
      </c>
      <c r="B39" s="45" t="s">
        <v>176</v>
      </c>
      <c r="C39" s="32">
        <f>((C43+C44)/((100-18)/100))</f>
        <v>1211.6829268292684</v>
      </c>
      <c r="D39" s="32">
        <f>D40+D41+D42+D43+D44</f>
        <v>23.59158523452548</v>
      </c>
      <c r="E39" s="32">
        <f>((E43+E44)/((100-18)/100))</f>
        <v>1211.6829268292684</v>
      </c>
      <c r="F39" s="32">
        <f>F40+F41+F42+F43+F44</f>
        <v>53.93016205221771</v>
      </c>
      <c r="G39" s="32">
        <f>((G43+G44)/((100-18)/100))</f>
        <v>0</v>
      </c>
      <c r="H39" s="32">
        <f>ROUND(H40+H41+H42+H43+H44,2)</f>
        <v>0</v>
      </c>
      <c r="I39" s="32">
        <f>((I43+I44)/((100-18)/100))</f>
        <v>0</v>
      </c>
      <c r="J39" s="32">
        <f>J40+J41+J42+J43+J44</f>
        <v>0</v>
      </c>
      <c r="K39" s="111"/>
      <c r="L39" s="11"/>
    </row>
    <row r="40" spans="1:11" ht="27" customHeight="1">
      <c r="A40" s="28" t="s">
        <v>73</v>
      </c>
      <c r="B40" s="26" t="s">
        <v>40</v>
      </c>
      <c r="C40" s="27">
        <f>C39*0.18</f>
        <v>218.10292682926828</v>
      </c>
      <c r="D40" s="32">
        <f>C40/C49*1000</f>
        <v>4.246485342214585</v>
      </c>
      <c r="E40" s="27">
        <f>E39*0.18</f>
        <v>218.10292682926828</v>
      </c>
      <c r="F40" s="32">
        <f>E40/E49*1000</f>
        <v>9.707429169399187</v>
      </c>
      <c r="G40" s="27">
        <f>G39*0.18</f>
        <v>0</v>
      </c>
      <c r="H40" s="32">
        <v>0</v>
      </c>
      <c r="I40" s="27">
        <f>I39*0.18</f>
        <v>0</v>
      </c>
      <c r="J40" s="32">
        <v>0</v>
      </c>
      <c r="K40" s="111"/>
    </row>
    <row r="41" spans="1:11" ht="21" customHeight="1">
      <c r="A41" s="28" t="s">
        <v>75</v>
      </c>
      <c r="B41" s="26" t="s">
        <v>96</v>
      </c>
      <c r="C41" s="27">
        <v>0</v>
      </c>
      <c r="D41" s="32">
        <f>C41/C49*1000</f>
        <v>0</v>
      </c>
      <c r="E41" s="27">
        <v>0</v>
      </c>
      <c r="F41" s="32">
        <f>E41/E49*1000</f>
        <v>0</v>
      </c>
      <c r="G41" s="27">
        <v>0</v>
      </c>
      <c r="H41" s="32">
        <f>G41/G49*1000</f>
        <v>0</v>
      </c>
      <c r="I41" s="27">
        <v>0</v>
      </c>
      <c r="J41" s="32">
        <f>I41/I49*1000</f>
        <v>0</v>
      </c>
      <c r="K41" s="111"/>
    </row>
    <row r="42" spans="1:11" ht="29.25" customHeight="1">
      <c r="A42" s="28" t="s">
        <v>77</v>
      </c>
      <c r="B42" s="26" t="s">
        <v>41</v>
      </c>
      <c r="C42" s="27">
        <v>0</v>
      </c>
      <c r="D42" s="32">
        <f>C42/C49*1000</f>
        <v>0</v>
      </c>
      <c r="E42" s="27">
        <v>0</v>
      </c>
      <c r="F42" s="32">
        <f>E42/E49*1000</f>
        <v>0</v>
      </c>
      <c r="G42" s="27">
        <v>0</v>
      </c>
      <c r="H42" s="32">
        <f>G42/G49*1000</f>
        <v>0</v>
      </c>
      <c r="I42" s="27">
        <v>0</v>
      </c>
      <c r="J42" s="32">
        <f>I42/I49*1000</f>
        <v>0</v>
      </c>
      <c r="K42" s="111"/>
    </row>
    <row r="43" spans="1:11" ht="28.5" customHeight="1">
      <c r="A43" s="28" t="s">
        <v>79</v>
      </c>
      <c r="B43" s="26" t="s">
        <v>42</v>
      </c>
      <c r="C43" s="27">
        <f>E43</f>
        <v>389.14</v>
      </c>
      <c r="D43" s="32">
        <f>C43/C49*1000</f>
        <v>7.576593904963727</v>
      </c>
      <c r="E43" s="27">
        <v>389.14</v>
      </c>
      <c r="F43" s="32">
        <f>E43/E49*1000</f>
        <v>17.320028859296684</v>
      </c>
      <c r="G43" s="27">
        <v>0</v>
      </c>
      <c r="H43" s="32">
        <f>G43/G49*1000</f>
        <v>0</v>
      </c>
      <c r="I43" s="27">
        <v>0</v>
      </c>
      <c r="J43" s="32">
        <f>I43/I49*1000</f>
        <v>0</v>
      </c>
      <c r="K43" s="111"/>
    </row>
    <row r="44" spans="1:11" ht="27.75" customHeight="1">
      <c r="A44" s="28" t="s">
        <v>178</v>
      </c>
      <c r="B44" s="26" t="s">
        <v>43</v>
      </c>
      <c r="C44" s="27">
        <f>E44</f>
        <v>604.44</v>
      </c>
      <c r="D44" s="32">
        <f>C44/C49*1000</f>
        <v>11.768505987347165</v>
      </c>
      <c r="E44" s="27">
        <v>604.44</v>
      </c>
      <c r="F44" s="32">
        <f>E44/E49*1000</f>
        <v>26.90270402352184</v>
      </c>
      <c r="G44" s="27">
        <v>0</v>
      </c>
      <c r="H44" s="32">
        <f>G44/G49*1000</f>
        <v>0</v>
      </c>
      <c r="I44" s="27">
        <v>0</v>
      </c>
      <c r="J44" s="32">
        <f>I44/I49*1000</f>
        <v>0</v>
      </c>
      <c r="K44" s="111"/>
    </row>
    <row r="45" spans="1:11" ht="45" customHeight="1">
      <c r="A45" s="30" t="s">
        <v>49</v>
      </c>
      <c r="B45" s="26" t="s">
        <v>250</v>
      </c>
      <c r="C45" s="32">
        <f aca="true" t="shared" si="1" ref="C45:J45">C37+C38+C39</f>
        <v>106160.65292682927</v>
      </c>
      <c r="D45" s="32">
        <f t="shared" si="1"/>
        <v>2066.9583078387836</v>
      </c>
      <c r="E45" s="32">
        <f t="shared" si="1"/>
        <v>31433.433926829264</v>
      </c>
      <c r="F45" s="32">
        <f t="shared" si="1"/>
        <v>1399.0542806174597</v>
      </c>
      <c r="G45" s="32">
        <f t="shared" si="1"/>
        <v>62661.031</v>
      </c>
      <c r="H45" s="32">
        <f t="shared" si="1"/>
        <v>2425.95</v>
      </c>
      <c r="I45" s="32">
        <f t="shared" si="1"/>
        <v>12066.179</v>
      </c>
      <c r="J45" s="32">
        <f t="shared" si="1"/>
        <v>3938.38</v>
      </c>
      <c r="K45" s="111"/>
    </row>
    <row r="46" spans="1:10" ht="25.5" customHeight="1">
      <c r="A46" s="30" t="s">
        <v>50</v>
      </c>
      <c r="B46" s="125" t="s">
        <v>251</v>
      </c>
      <c r="C46" s="32">
        <f>E46+G46+I46</f>
        <v>47431.71000000001</v>
      </c>
      <c r="D46" s="32"/>
      <c r="E46" s="49">
        <f>ДОДАТОК1!F50</f>
        <v>20748.86</v>
      </c>
      <c r="F46" s="49"/>
      <c r="G46" s="32">
        <f>ДОДАТОК1!H50</f>
        <v>23853.49</v>
      </c>
      <c r="H46" s="32"/>
      <c r="I46" s="32">
        <f>ДОДАТОК1!J50</f>
        <v>2829.36</v>
      </c>
      <c r="J46" s="133"/>
    </row>
    <row r="47" spans="1:10" ht="25.5" customHeight="1">
      <c r="A47" s="30" t="s">
        <v>51</v>
      </c>
      <c r="B47" s="109" t="s">
        <v>131</v>
      </c>
      <c r="C47" s="27">
        <v>0</v>
      </c>
      <c r="D47" s="27"/>
      <c r="E47" s="27">
        <v>0</v>
      </c>
      <c r="F47" s="27"/>
      <c r="G47" s="27">
        <v>0</v>
      </c>
      <c r="H47" s="27"/>
      <c r="I47" s="27">
        <v>0</v>
      </c>
      <c r="J47" s="32"/>
    </row>
    <row r="48" spans="1:10" ht="24" customHeight="1">
      <c r="A48" s="30" t="s">
        <v>52</v>
      </c>
      <c r="B48" s="109" t="s">
        <v>132</v>
      </c>
      <c r="C48" s="27">
        <v>0</v>
      </c>
      <c r="D48" s="27"/>
      <c r="E48" s="27">
        <v>0</v>
      </c>
      <c r="F48" s="27"/>
      <c r="G48" s="27">
        <v>0</v>
      </c>
      <c r="H48" s="27"/>
      <c r="I48" s="27">
        <v>0</v>
      </c>
      <c r="J48" s="32"/>
    </row>
    <row r="49" spans="1:10" ht="44.25" customHeight="1">
      <c r="A49" s="30" t="s">
        <v>53</v>
      </c>
      <c r="B49" s="125" t="s">
        <v>133</v>
      </c>
      <c r="C49" s="32">
        <f>E49+G49+I49</f>
        <v>51360.81</v>
      </c>
      <c r="D49" s="32"/>
      <c r="E49" s="49">
        <f>ДОДАТОК1!F53</f>
        <v>22467.63</v>
      </c>
      <c r="F49" s="49"/>
      <c r="G49" s="32">
        <f>ДОДАТОК1!H53</f>
        <v>25829.44</v>
      </c>
      <c r="H49" s="32"/>
      <c r="I49" s="32">
        <f>ДОДАТОК1!J53</f>
        <v>3063.74</v>
      </c>
      <c r="J49" s="32"/>
    </row>
    <row r="50" spans="1:10" ht="29.25" customHeight="1">
      <c r="A50" s="30" t="s">
        <v>134</v>
      </c>
      <c r="B50" s="26" t="s">
        <v>252</v>
      </c>
      <c r="C50" s="32">
        <f>D45*1.2</f>
        <v>2480.3499694065404</v>
      </c>
      <c r="D50" s="31"/>
      <c r="E50" s="32">
        <f>F45*1.2</f>
        <v>1678.8651367409516</v>
      </c>
      <c r="F50" s="31"/>
      <c r="G50" s="32">
        <f>H45*1.2</f>
        <v>2911.14</v>
      </c>
      <c r="H50" s="31"/>
      <c r="I50" s="32">
        <f>J45*1.2</f>
        <v>4726.056</v>
      </c>
      <c r="J50" s="31"/>
    </row>
    <row r="51" spans="1:10" ht="23.25">
      <c r="A51" s="11"/>
      <c r="B51" s="52"/>
      <c r="C51" s="11"/>
      <c r="D51" s="11"/>
      <c r="E51" s="11"/>
      <c r="F51" s="11"/>
      <c r="G51" s="11"/>
      <c r="H51" s="11"/>
      <c r="I51" s="11"/>
      <c r="J51" s="11"/>
    </row>
    <row r="52" spans="1:10" ht="20.25">
      <c r="A52" s="261" t="s">
        <v>261</v>
      </c>
      <c r="B52" s="184"/>
      <c r="C52" s="184"/>
      <c r="D52" s="184"/>
      <c r="E52" s="184"/>
      <c r="F52" s="184"/>
      <c r="G52" s="184"/>
      <c r="H52" s="184"/>
      <c r="I52" s="184"/>
      <c r="J52" s="184"/>
    </row>
    <row r="53" spans="1:10" ht="18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 spans="1:10" ht="18">
      <c r="A54" s="11"/>
      <c r="B54" s="11"/>
      <c r="C54" s="18"/>
      <c r="D54" s="18"/>
      <c r="E54" s="18"/>
      <c r="F54" s="18"/>
      <c r="G54" s="18"/>
      <c r="H54" s="18"/>
      <c r="I54" s="18"/>
      <c r="J54" s="18"/>
    </row>
    <row r="55" spans="3:10" ht="12.75">
      <c r="C55" s="157"/>
      <c r="D55" s="157"/>
      <c r="E55" s="157"/>
      <c r="F55" s="157"/>
      <c r="G55" s="157"/>
      <c r="H55" s="157"/>
      <c r="I55" s="157"/>
      <c r="J55" s="157"/>
    </row>
  </sheetData>
  <sheetProtection/>
  <mergeCells count="11">
    <mergeCell ref="A7:A8"/>
    <mergeCell ref="B7:B8"/>
    <mergeCell ref="C7:D7"/>
    <mergeCell ref="E7:F7"/>
    <mergeCell ref="A52:J52"/>
    <mergeCell ref="I1:J1"/>
    <mergeCell ref="G7:H7"/>
    <mergeCell ref="I7:J7"/>
    <mergeCell ref="H2:J2"/>
    <mergeCell ref="A4:J4"/>
    <mergeCell ref="A5:J5"/>
  </mergeCells>
  <printOptions/>
  <pageMargins left="0.7" right="0.7" top="0.75" bottom="0.75" header="0.3" footer="0.3"/>
  <pageSetup horizontalDpi="600" verticalDpi="600" orientation="portrait" paperSize="9" scale="3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0"/>
  <sheetViews>
    <sheetView view="pageBreakPreview" zoomScale="60" zoomScaleNormal="60" zoomScalePageLayoutView="0" workbookViewId="0" topLeftCell="A28">
      <selection activeCell="A5" sqref="A5:J5"/>
    </sheetView>
  </sheetViews>
  <sheetFormatPr defaultColWidth="9.00390625" defaultRowHeight="11.25" customHeight="1"/>
  <cols>
    <col min="1" max="1" width="10.625" style="1" customWidth="1"/>
    <col min="2" max="2" width="76.00390625" style="1" customWidth="1"/>
    <col min="3" max="4" width="17.75390625" style="1" customWidth="1"/>
    <col min="5" max="6" width="17.625" style="1" customWidth="1"/>
    <col min="7" max="8" width="19.75390625" style="1" customWidth="1"/>
    <col min="9" max="9" width="17.125" style="1" customWidth="1"/>
    <col min="10" max="10" width="15.875" style="1" customWidth="1"/>
    <col min="11" max="11" width="19.00390625" style="1" hidden="1" customWidth="1"/>
    <col min="12" max="12" width="19.125" style="1" customWidth="1"/>
    <col min="13" max="13" width="11.125" style="1" customWidth="1"/>
    <col min="14" max="14" width="11.375" style="1" bestFit="1" customWidth="1"/>
    <col min="15" max="15" width="14.75390625" style="1" customWidth="1"/>
    <col min="16" max="16384" width="9.125" style="1" customWidth="1"/>
  </cols>
  <sheetData>
    <row r="1" spans="1:10" ht="21" customHeight="1">
      <c r="A1" s="191"/>
      <c r="B1" s="191"/>
      <c r="C1" s="22"/>
      <c r="D1" s="22"/>
      <c r="E1" s="22"/>
      <c r="F1" s="22"/>
      <c r="G1" s="22"/>
      <c r="H1" s="145"/>
      <c r="I1" s="262" t="s">
        <v>218</v>
      </c>
      <c r="J1" s="192"/>
    </row>
    <row r="2" spans="1:10" ht="24.75" customHeight="1">
      <c r="A2" s="22"/>
      <c r="B2" s="22"/>
      <c r="C2" s="22"/>
      <c r="D2" s="22"/>
      <c r="E2" s="22"/>
      <c r="F2" s="22"/>
      <c r="G2" s="262" t="s">
        <v>221</v>
      </c>
      <c r="H2" s="192"/>
      <c r="I2" s="192"/>
      <c r="J2" s="192"/>
    </row>
    <row r="3" spans="1:7" ht="25.5" customHeight="1">
      <c r="A3" s="22"/>
      <c r="B3" s="22"/>
      <c r="C3" s="22"/>
      <c r="D3" s="22"/>
      <c r="E3" s="22"/>
      <c r="F3" s="22"/>
      <c r="G3" s="146"/>
    </row>
    <row r="4" spans="1:10" ht="27" customHeight="1">
      <c r="A4" s="271" t="s">
        <v>253</v>
      </c>
      <c r="B4" s="272"/>
      <c r="C4" s="272"/>
      <c r="D4" s="272"/>
      <c r="E4" s="272"/>
      <c r="F4" s="272"/>
      <c r="G4" s="272"/>
      <c r="H4" s="272"/>
      <c r="I4" s="272"/>
      <c r="J4" s="272"/>
    </row>
    <row r="5" spans="1:10" ht="61.5" customHeight="1">
      <c r="A5" s="271" t="s">
        <v>267</v>
      </c>
      <c r="B5" s="272"/>
      <c r="C5" s="272"/>
      <c r="D5" s="272"/>
      <c r="E5" s="272"/>
      <c r="F5" s="272"/>
      <c r="G5" s="272"/>
      <c r="H5" s="272"/>
      <c r="I5" s="272"/>
      <c r="J5" s="272"/>
    </row>
    <row r="6" spans="1:10" ht="11.25" customHeight="1">
      <c r="A6" s="172"/>
      <c r="B6" s="172"/>
      <c r="C6" s="172"/>
      <c r="D6" s="172"/>
      <c r="E6" s="172"/>
      <c r="F6" s="172"/>
      <c r="G6" s="172"/>
      <c r="H6" s="172"/>
      <c r="I6" s="172"/>
      <c r="J6" s="172"/>
    </row>
    <row r="7" spans="1:11" ht="11.25" customHeight="1">
      <c r="A7" s="22"/>
      <c r="B7" s="22"/>
      <c r="C7" s="22"/>
      <c r="D7" s="22"/>
      <c r="E7" s="22"/>
      <c r="F7" s="22"/>
      <c r="G7" s="22"/>
      <c r="H7" s="22"/>
      <c r="I7" s="149"/>
      <c r="J7" s="149"/>
      <c r="K7" s="150"/>
    </row>
    <row r="8" spans="1:11" ht="78" customHeight="1">
      <c r="A8" s="200" t="s">
        <v>16</v>
      </c>
      <c r="B8" s="200" t="s">
        <v>17</v>
      </c>
      <c r="C8" s="267" t="s">
        <v>18</v>
      </c>
      <c r="D8" s="268"/>
      <c r="E8" s="269" t="s">
        <v>224</v>
      </c>
      <c r="F8" s="270"/>
      <c r="G8" s="269" t="s">
        <v>225</v>
      </c>
      <c r="H8" s="270"/>
      <c r="I8" s="269" t="s">
        <v>249</v>
      </c>
      <c r="J8" s="270"/>
      <c r="K8" s="114"/>
    </row>
    <row r="9" spans="1:14" ht="48" customHeight="1">
      <c r="A9" s="200"/>
      <c r="B9" s="200"/>
      <c r="C9" s="25" t="s">
        <v>227</v>
      </c>
      <c r="D9" s="25" t="s">
        <v>88</v>
      </c>
      <c r="E9" s="25" t="s">
        <v>227</v>
      </c>
      <c r="F9" s="25" t="s">
        <v>88</v>
      </c>
      <c r="G9" s="25" t="s">
        <v>227</v>
      </c>
      <c r="H9" s="25" t="s">
        <v>88</v>
      </c>
      <c r="I9" s="25" t="s">
        <v>227</v>
      </c>
      <c r="J9" s="25" t="s">
        <v>88</v>
      </c>
      <c r="M9" s="12"/>
      <c r="N9" s="12"/>
    </row>
    <row r="10" spans="1:14" ht="21.75" customHeight="1">
      <c r="A10" s="25">
        <v>1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25">
        <v>10</v>
      </c>
      <c r="K10" s="21"/>
      <c r="L10" s="21"/>
      <c r="M10" s="12"/>
      <c r="N10" s="12"/>
    </row>
    <row r="11" spans="1:15" ht="24" customHeight="1">
      <c r="A11" s="30">
        <v>1</v>
      </c>
      <c r="B11" s="31" t="s">
        <v>169</v>
      </c>
      <c r="C11" s="32">
        <f>C13+C18+C19+C23</f>
        <v>5773.84</v>
      </c>
      <c r="D11" s="32">
        <f>C11/C46*1000</f>
        <v>121.72953494613623</v>
      </c>
      <c r="E11" s="32">
        <f>E13+E18+E19+E23</f>
        <v>2525.747</v>
      </c>
      <c r="F11" s="32">
        <f>E11/E46*1000</f>
        <v>121.72943477376587</v>
      </c>
      <c r="G11" s="32">
        <f>G13+G18+G19+G23</f>
        <v>2903.677</v>
      </c>
      <c r="H11" s="32">
        <f>G11/G46*1000</f>
        <v>121.72965046204978</v>
      </c>
      <c r="I11" s="32">
        <f>I13+I18+I19+I23</f>
        <v>344.417</v>
      </c>
      <c r="J11" s="32">
        <f>I11/I46*1000</f>
        <v>121.72964910792545</v>
      </c>
      <c r="K11" s="118">
        <f>Вироб!C10+'Трансп.'!C11+'Постач.'!C11</f>
        <v>108157.78</v>
      </c>
      <c r="L11" s="12"/>
      <c r="M11" s="18"/>
      <c r="N11" s="18"/>
      <c r="O11" s="16"/>
    </row>
    <row r="12" spans="1:15" ht="21.75" customHeight="1">
      <c r="A12" s="28"/>
      <c r="B12" s="29" t="s">
        <v>92</v>
      </c>
      <c r="C12" s="153">
        <f>C13+C18+C19</f>
        <v>5597.39</v>
      </c>
      <c r="D12" s="32">
        <f>C12/C46*1000</f>
        <v>118.00944979634932</v>
      </c>
      <c r="E12" s="153">
        <f>E13+E18+E19</f>
        <v>2448.56</v>
      </c>
      <c r="F12" s="32">
        <f>E12/E46*1000</f>
        <v>118.00937497289007</v>
      </c>
      <c r="G12" s="153">
        <f>G13+G18+G19</f>
        <v>2814.94</v>
      </c>
      <c r="H12" s="32">
        <f>G12/G46*1000</f>
        <v>118.00956589580812</v>
      </c>
      <c r="I12" s="153">
        <f>I13+I18+I19</f>
        <v>333.89099999999996</v>
      </c>
      <c r="J12" s="32">
        <f>I12/I46*1000</f>
        <v>118.00937314445669</v>
      </c>
      <c r="K12" s="90">
        <f>Вироб!C11+'Трансп.'!C12+'Постач.'!C12</f>
        <v>105572.1</v>
      </c>
      <c r="L12" s="18"/>
      <c r="M12" s="18"/>
      <c r="N12" s="18"/>
      <c r="O12" s="16"/>
    </row>
    <row r="13" spans="1:14" ht="27" customHeight="1">
      <c r="A13" s="28" t="s">
        <v>2</v>
      </c>
      <c r="B13" s="26" t="s">
        <v>170</v>
      </c>
      <c r="C13" s="27">
        <f>SUM(C14:C16)</f>
        <v>3141.4700000000003</v>
      </c>
      <c r="D13" s="32">
        <f>C13/C46*1000</f>
        <v>66.23143040805401</v>
      </c>
      <c r="E13" s="27">
        <f>SUM(E14:E16)</f>
        <v>1374.23</v>
      </c>
      <c r="F13" s="32">
        <f>E13/E46*1000</f>
        <v>66.23159055485459</v>
      </c>
      <c r="G13" s="27">
        <f>SUM(G14:G16)</f>
        <v>1579.85</v>
      </c>
      <c r="H13" s="32">
        <f>G13/G46*1000</f>
        <v>66.23139842429765</v>
      </c>
      <c r="I13" s="27">
        <f>SUM(I14:I16)</f>
        <v>187.393</v>
      </c>
      <c r="J13" s="32">
        <f>I13/I46*1000</f>
        <v>66.23158594169706</v>
      </c>
      <c r="K13" s="115"/>
      <c r="L13" s="18"/>
      <c r="M13" s="12"/>
      <c r="N13" s="12"/>
    </row>
    <row r="14" spans="1:14" ht="28.5" customHeight="1">
      <c r="A14" s="28" t="s">
        <v>23</v>
      </c>
      <c r="B14" s="26" t="s">
        <v>123</v>
      </c>
      <c r="C14" s="27">
        <f>ДОДАТОК2!D16</f>
        <v>2651.67</v>
      </c>
      <c r="D14" s="32">
        <f>C14/C46*1000</f>
        <v>55.905005322388746</v>
      </c>
      <c r="E14" s="27">
        <f>ROUND(C14/C46*E46,2)</f>
        <v>1159.97</v>
      </c>
      <c r="F14" s="32">
        <f>E14/E46*1000</f>
        <v>55.90524009511848</v>
      </c>
      <c r="G14" s="27">
        <f>ROUND(C14/C46*G46,2)</f>
        <v>1333.53</v>
      </c>
      <c r="H14" s="32">
        <f>G14/G46*1000</f>
        <v>55.90502689543543</v>
      </c>
      <c r="I14" s="27">
        <f>ROUND(C14/C46*I46,3)</f>
        <v>158.175</v>
      </c>
      <c r="J14" s="32">
        <f>I14/I46*1000</f>
        <v>55.90486894562728</v>
      </c>
      <c r="K14" s="111"/>
      <c r="L14" s="12"/>
      <c r="M14" s="12"/>
      <c r="N14" s="12"/>
    </row>
    <row r="15" spans="1:14" ht="24.75" customHeight="1">
      <c r="A15" s="28" t="s">
        <v>24</v>
      </c>
      <c r="B15" s="26" t="s">
        <v>125</v>
      </c>
      <c r="C15" s="27">
        <f>ДОДАТОК2!D18</f>
        <v>308.42</v>
      </c>
      <c r="D15" s="32">
        <f>C15/C46*1000</f>
        <v>6.502401030871541</v>
      </c>
      <c r="E15" s="27">
        <f>ROUND(C15/C46*E46,2)</f>
        <v>134.92</v>
      </c>
      <c r="F15" s="32">
        <f>E15/E46*1000</f>
        <v>6.50252592190607</v>
      </c>
      <c r="G15" s="27">
        <f>ROUND(C15/C46*G46,2)</f>
        <v>155.1</v>
      </c>
      <c r="H15" s="32">
        <f>G15/G46*1000</f>
        <v>6.502193180117458</v>
      </c>
      <c r="I15" s="27">
        <f>ROUND(C15/C46*I46,3)</f>
        <v>18.398</v>
      </c>
      <c r="J15" s="32">
        <f>I15/I46*1000</f>
        <v>6.50253060762858</v>
      </c>
      <c r="K15" s="111"/>
      <c r="L15" s="12"/>
      <c r="M15" s="12"/>
      <c r="N15" s="12"/>
    </row>
    <row r="16" spans="1:14" ht="53.25" customHeight="1">
      <c r="A16" s="28" t="s">
        <v>25</v>
      </c>
      <c r="B16" s="26" t="s">
        <v>126</v>
      </c>
      <c r="C16" s="27">
        <f>ДОДАТОК2!D19</f>
        <v>181.38</v>
      </c>
      <c r="D16" s="32">
        <f>C16/C46*1000</f>
        <v>3.824024054793723</v>
      </c>
      <c r="E16" s="27">
        <f>ROUND(C16/C46*E46,2)</f>
        <v>79.34</v>
      </c>
      <c r="F16" s="32">
        <f>E16/E46*1000</f>
        <v>3.82382453783003</v>
      </c>
      <c r="G16" s="27">
        <f>ROUND(C16/C46*G46,2)</f>
        <v>91.22</v>
      </c>
      <c r="H16" s="32">
        <f>G16/G46*1000</f>
        <v>3.8241783487447747</v>
      </c>
      <c r="I16" s="27">
        <f>ROUND(C16/C46*I46,3)</f>
        <v>10.82</v>
      </c>
      <c r="J16" s="32">
        <f>I16/I46*1000</f>
        <v>3.8241863884412024</v>
      </c>
      <c r="K16" s="111"/>
      <c r="L16" s="12"/>
      <c r="M16" s="12"/>
      <c r="N16" s="12"/>
    </row>
    <row r="17" spans="1:14" ht="24" customHeight="1">
      <c r="A17" s="28" t="s">
        <v>26</v>
      </c>
      <c r="B17" s="29" t="s">
        <v>254</v>
      </c>
      <c r="C17" s="67">
        <f>ДОДАТОК2!H20</f>
        <v>8121.29</v>
      </c>
      <c r="D17" s="32">
        <f>C17/C46*1000</f>
        <v>171.22068759486004</v>
      </c>
      <c r="E17" s="27">
        <f>ДОДАТОК2!I20</f>
        <v>2404.65</v>
      </c>
      <c r="F17" s="32">
        <f>E17/E46*1000</f>
        <v>115.89311412771593</v>
      </c>
      <c r="G17" s="27">
        <f>ДОДАТОК2!J20</f>
        <v>4793.56</v>
      </c>
      <c r="H17" s="32">
        <f>G17/G46*1000</f>
        <v>200.95843417462183</v>
      </c>
      <c r="I17" s="27">
        <f>ДОДАТОК2!K20</f>
        <v>923.08</v>
      </c>
      <c r="J17" s="32">
        <f>I17/I46*1000</f>
        <v>326.25045946786554</v>
      </c>
      <c r="K17" s="111">
        <f>E17+G17+I17</f>
        <v>8121.290000000001</v>
      </c>
      <c r="L17" s="12"/>
      <c r="M17" s="12"/>
      <c r="N17" s="12"/>
    </row>
    <row r="18" spans="1:15" ht="24.75" customHeight="1">
      <c r="A18" s="28" t="s">
        <v>3</v>
      </c>
      <c r="B18" s="26" t="s">
        <v>19</v>
      </c>
      <c r="C18" s="27">
        <f>ДОДАТОК2!D21</f>
        <v>1522.42</v>
      </c>
      <c r="D18" s="32">
        <f>C18/C46*1000</f>
        <v>32.09709285201819</v>
      </c>
      <c r="E18" s="27">
        <f>ROUND(C18/C46*E46,2)</f>
        <v>665.98</v>
      </c>
      <c r="F18" s="32">
        <f>E18/E46*1000</f>
        <v>32.097185098362026</v>
      </c>
      <c r="G18" s="27">
        <f>ROUND(C18/C46*G46,2)</f>
        <v>765.63</v>
      </c>
      <c r="H18" s="32">
        <f>G18/G46*1000</f>
        <v>32.097189970943454</v>
      </c>
      <c r="I18" s="27">
        <f>ROUND(C18/C46*I46,3)</f>
        <v>90.814</v>
      </c>
      <c r="J18" s="32">
        <f>I18/I46*1000</f>
        <v>32.09701133825317</v>
      </c>
      <c r="K18" s="111"/>
      <c r="L18" s="12"/>
      <c r="M18" s="20"/>
      <c r="N18" s="11"/>
      <c r="O18" s="17"/>
    </row>
    <row r="19" spans="1:15" ht="30" customHeight="1">
      <c r="A19" s="28" t="s">
        <v>28</v>
      </c>
      <c r="B19" s="26" t="s">
        <v>171</v>
      </c>
      <c r="C19" s="27">
        <f>C20+C21+C22</f>
        <v>933.5</v>
      </c>
      <c r="D19" s="32">
        <f>C19/C46*1000</f>
        <v>19.680926536277102</v>
      </c>
      <c r="E19" s="27">
        <f>E20+E21+E22</f>
        <v>408.35</v>
      </c>
      <c r="F19" s="32">
        <f>E19/E46*1000</f>
        <v>19.68059931967347</v>
      </c>
      <c r="G19" s="27">
        <f>G20+G21+G22</f>
        <v>469.46</v>
      </c>
      <c r="H19" s="32">
        <f>G19/G46*1000</f>
        <v>19.680977500567</v>
      </c>
      <c r="I19" s="27">
        <f>I20+I21+I22</f>
        <v>55.684</v>
      </c>
      <c r="J19" s="32">
        <f>I19/I46*1000</f>
        <v>19.68077586450646</v>
      </c>
      <c r="K19" s="111"/>
      <c r="L19" s="11"/>
      <c r="M19" s="18"/>
      <c r="N19" s="18"/>
      <c r="O19" s="16"/>
    </row>
    <row r="20" spans="1:15" ht="27.75" customHeight="1">
      <c r="A20" s="28" t="s">
        <v>29</v>
      </c>
      <c r="B20" s="26" t="s">
        <v>172</v>
      </c>
      <c r="C20" s="27">
        <f>ДОДАТОК2!D23</f>
        <v>334.93</v>
      </c>
      <c r="D20" s="32">
        <f>C20/C46*1000</f>
        <v>7.061309828382742</v>
      </c>
      <c r="E20" s="27">
        <f>ROUND(C20/C46*E46,2)</f>
        <v>146.51</v>
      </c>
      <c r="F20" s="32">
        <f>E20/E46*1000</f>
        <v>7.061110827293643</v>
      </c>
      <c r="G20" s="27">
        <f>ROUND(C20/C46*G46,2)</f>
        <v>168.44</v>
      </c>
      <c r="H20" s="32">
        <f>G20/G46*1000</f>
        <v>7.061440485228785</v>
      </c>
      <c r="I20" s="27">
        <f>ROUND(C20/C46*I46,3)</f>
        <v>19.979</v>
      </c>
      <c r="J20" s="32">
        <f>I20/I46*1000</f>
        <v>7.061314219470127</v>
      </c>
      <c r="K20" s="111"/>
      <c r="L20" s="18"/>
      <c r="M20" s="18"/>
      <c r="N20" s="11"/>
      <c r="O20" s="11"/>
    </row>
    <row r="21" spans="1:15" ht="26.25" customHeight="1">
      <c r="A21" s="28" t="s">
        <v>30</v>
      </c>
      <c r="B21" s="26" t="s">
        <v>101</v>
      </c>
      <c r="C21" s="27">
        <f>ДОДАТОК2!D24</f>
        <v>452.84</v>
      </c>
      <c r="D21" s="32">
        <f>C21/C46*1000</f>
        <v>9.547199542247158</v>
      </c>
      <c r="E21" s="27">
        <f>ROUND(C21/C46*E46,2)</f>
        <v>198.09</v>
      </c>
      <c r="F21" s="32">
        <f>E21/E46*1000</f>
        <v>9.547030535653525</v>
      </c>
      <c r="G21" s="27">
        <f>ROUND(C21/C46*G46,2)</f>
        <v>227.73</v>
      </c>
      <c r="H21" s="32">
        <f>G21/G46*1000</f>
        <v>9.54703064415312</v>
      </c>
      <c r="I21" s="27">
        <f>ROUND(C21/C46*I46,3)</f>
        <v>27.012</v>
      </c>
      <c r="J21" s="32">
        <f>I21/I46*1000</f>
        <v>9.547035371956909</v>
      </c>
      <c r="K21" s="111"/>
      <c r="L21" s="18"/>
      <c r="M21" s="11"/>
      <c r="N21" s="11"/>
      <c r="O21" s="11"/>
    </row>
    <row r="22" spans="1:12" ht="27.75" customHeight="1">
      <c r="A22" s="28" t="s">
        <v>31</v>
      </c>
      <c r="B22" s="26" t="s">
        <v>20</v>
      </c>
      <c r="C22" s="27">
        <f>ДОДАТОК2!D25</f>
        <v>145.73</v>
      </c>
      <c r="D22" s="32">
        <f>C22/C46*1000</f>
        <v>3.0724171656472006</v>
      </c>
      <c r="E22" s="27">
        <f>ROUND(C22/C46*E46,2)</f>
        <v>63.75</v>
      </c>
      <c r="F22" s="32">
        <f>E22/E46*1000</f>
        <v>3.0724579567262973</v>
      </c>
      <c r="G22" s="27">
        <f>ROUND(C22/C46*G46,2)</f>
        <v>73.29</v>
      </c>
      <c r="H22" s="32">
        <f>G22/G46*1000</f>
        <v>3.072506371185097</v>
      </c>
      <c r="I22" s="27">
        <f>ROUND(C22/C46*I46,3)</f>
        <v>8.693</v>
      </c>
      <c r="J22" s="32">
        <f>I22/I46*1000</f>
        <v>3.072426273079424</v>
      </c>
      <c r="K22" s="111"/>
      <c r="L22" s="11"/>
    </row>
    <row r="23" spans="1:14" ht="27" customHeight="1">
      <c r="A23" s="28" t="s">
        <v>32</v>
      </c>
      <c r="B23" s="31" t="s">
        <v>173</v>
      </c>
      <c r="C23" s="27">
        <f>SUM(C24:C26)</f>
        <v>176.45</v>
      </c>
      <c r="D23" s="32">
        <f>C23/C46*1000</f>
        <v>3.7200851497869243</v>
      </c>
      <c r="E23" s="27">
        <f>SUM(E24:E26)</f>
        <v>77.187</v>
      </c>
      <c r="F23" s="32">
        <f>E23/E46*1000</f>
        <v>3.720059800875807</v>
      </c>
      <c r="G23" s="27">
        <f>SUM(G24:G26)</f>
        <v>88.737</v>
      </c>
      <c r="H23" s="32">
        <f>G23/G46*1000</f>
        <v>3.7200845662416686</v>
      </c>
      <c r="I23" s="27">
        <f>SUM(I24:I26)</f>
        <v>10.526</v>
      </c>
      <c r="J23" s="32">
        <f>I23/I46*1000</f>
        <v>3.72027596346877</v>
      </c>
      <c r="K23" s="18"/>
      <c r="M23" s="17"/>
      <c r="N23" s="16"/>
    </row>
    <row r="24" spans="1:14" ht="26.25" customHeight="1">
      <c r="A24" s="28" t="s">
        <v>33</v>
      </c>
      <c r="B24" s="26" t="s">
        <v>21</v>
      </c>
      <c r="C24" s="27">
        <v>94.03</v>
      </c>
      <c r="D24" s="32">
        <f>C24/C46*1000</f>
        <v>1.982429054318303</v>
      </c>
      <c r="E24" s="27">
        <f>ROUND(C24/C46*E46,3)</f>
        <v>41.133</v>
      </c>
      <c r="F24" s="32">
        <f>E24/E46*1000</f>
        <v>1.9824221668082007</v>
      </c>
      <c r="G24" s="27">
        <f>ROUND(C24/C46*G46,3)</f>
        <v>47.288</v>
      </c>
      <c r="H24" s="32">
        <f>G24/G46*1000</f>
        <v>1.982435274670499</v>
      </c>
      <c r="I24" s="27">
        <f>ROUND(C24/C46*I46,3)</f>
        <v>5.609</v>
      </c>
      <c r="J24" s="32">
        <f>I24/I46*1000</f>
        <v>1.9824271213277913</v>
      </c>
      <c r="K24" s="111"/>
      <c r="L24" s="17"/>
      <c r="M24" s="11"/>
      <c r="N24" s="16"/>
    </row>
    <row r="25" spans="1:14" ht="24" customHeight="1">
      <c r="A25" s="28" t="s">
        <v>34</v>
      </c>
      <c r="B25" s="26" t="s">
        <v>172</v>
      </c>
      <c r="C25" s="27">
        <v>19.31</v>
      </c>
      <c r="D25" s="32">
        <f>C25/C46*1000</f>
        <v>0.40711161372845284</v>
      </c>
      <c r="E25" s="27">
        <f>ROUND(C25/C46*E46,3)</f>
        <v>8.447</v>
      </c>
      <c r="F25" s="32">
        <f>E25/E46*1000</f>
        <v>0.40710670369360047</v>
      </c>
      <c r="G25" s="27">
        <f>ROUND(C25/C46*G46,3)</f>
        <v>9.711</v>
      </c>
      <c r="H25" s="32">
        <f>G25/G46*1000</f>
        <v>0.40711023837601956</v>
      </c>
      <c r="I25" s="27">
        <f>ROUND(C25/C46*I46,3)</f>
        <v>1.152</v>
      </c>
      <c r="J25" s="32">
        <f>I25/I46*1000</f>
        <v>0.40715921621850876</v>
      </c>
      <c r="K25" s="111"/>
      <c r="L25" s="11"/>
      <c r="M25" s="11"/>
      <c r="N25" s="16"/>
    </row>
    <row r="26" spans="1:14" ht="24.75" customHeight="1">
      <c r="A26" s="28" t="s">
        <v>35</v>
      </c>
      <c r="B26" s="26" t="s">
        <v>22</v>
      </c>
      <c r="C26" s="27">
        <v>63.11</v>
      </c>
      <c r="D26" s="32">
        <f>C26/C46*1000</f>
        <v>1.330544481740169</v>
      </c>
      <c r="E26" s="27">
        <f>ROUND(C26/C46*E46,3)</f>
        <v>27.607</v>
      </c>
      <c r="F26" s="32">
        <f>E26/E46*1000</f>
        <v>1.330530930374006</v>
      </c>
      <c r="G26" s="27">
        <f>ROUND(C26/C46*G46,3)</f>
        <v>31.738</v>
      </c>
      <c r="H26" s="32">
        <f>G26/G46*1000</f>
        <v>1.3305390531951506</v>
      </c>
      <c r="I26" s="27">
        <f>ROUND(C26/C46*I46,3)</f>
        <v>3.765</v>
      </c>
      <c r="J26" s="32">
        <f>I26/I46*1000</f>
        <v>1.33068962592247</v>
      </c>
      <c r="K26" s="111"/>
      <c r="L26" s="11"/>
      <c r="M26" s="19"/>
      <c r="N26" s="19"/>
    </row>
    <row r="27" spans="1:14" ht="23.25" customHeight="1">
      <c r="A27" s="30" t="s">
        <v>4</v>
      </c>
      <c r="B27" s="31" t="s">
        <v>174</v>
      </c>
      <c r="C27" s="32">
        <f>SUM(C28:C30)</f>
        <v>218.33</v>
      </c>
      <c r="D27" s="32">
        <f>C27/C46*1000</f>
        <v>4.603038768789909</v>
      </c>
      <c r="E27" s="32">
        <f>SUM(E28:E30)</f>
        <v>95.51</v>
      </c>
      <c r="F27" s="32">
        <f>E27/E46*1000</f>
        <v>4.603144461912606</v>
      </c>
      <c r="G27" s="32">
        <f>SUM(G28:G30)</f>
        <v>109.79899999999999</v>
      </c>
      <c r="H27" s="32">
        <f>G27/G46*1000</f>
        <v>4.603058085001398</v>
      </c>
      <c r="I27" s="32">
        <f>SUM(I28:I30)</f>
        <v>13.024</v>
      </c>
      <c r="J27" s="32">
        <f>I27/I46*1000</f>
        <v>4.603161138914808</v>
      </c>
      <c r="K27" s="111"/>
      <c r="L27" s="19"/>
      <c r="M27" s="17"/>
      <c r="N27" s="16"/>
    </row>
    <row r="28" spans="1:14" ht="23.25" customHeight="1">
      <c r="A28" s="28" t="s">
        <v>5</v>
      </c>
      <c r="B28" s="26" t="s">
        <v>21</v>
      </c>
      <c r="C28" s="27">
        <v>161.62</v>
      </c>
      <c r="D28" s="32">
        <f>C28/C46*1000</f>
        <v>3.4074251170788483</v>
      </c>
      <c r="E28" s="27">
        <f>ROUND(C28/C46*E46,2)</f>
        <v>70.7</v>
      </c>
      <c r="F28" s="32">
        <f>E28/E46*1000</f>
        <v>3.407416118283125</v>
      </c>
      <c r="G28" s="27">
        <f>ROUND(C28/C46*G46,3)</f>
        <v>81.279</v>
      </c>
      <c r="H28" s="32">
        <f>G28/G46*1000</f>
        <v>3.407425915453042</v>
      </c>
      <c r="I28" s="27">
        <f>ROUND(C28/C46*I46,3)</f>
        <v>9.641</v>
      </c>
      <c r="J28" s="32">
        <f>I28/I46*1000</f>
        <v>3.407484378092572</v>
      </c>
      <c r="K28" s="111"/>
      <c r="L28" s="17"/>
      <c r="M28" s="11"/>
      <c r="N28" s="16"/>
    </row>
    <row r="29" spans="1:14" ht="21" customHeight="1">
      <c r="A29" s="28" t="s">
        <v>6</v>
      </c>
      <c r="B29" s="26" t="s">
        <v>172</v>
      </c>
      <c r="C29" s="27">
        <v>33.28</v>
      </c>
      <c r="D29" s="32">
        <f>C29/C46*1000</f>
        <v>0.7016403161513679</v>
      </c>
      <c r="E29" s="27">
        <f>ROUND(C29/C46*E46,2)</f>
        <v>14.56</v>
      </c>
      <c r="F29" s="32">
        <f>E29/E46*1000</f>
        <v>0.7017252996068218</v>
      </c>
      <c r="G29" s="27">
        <f>ROUND(C29/C46*G46,3)</f>
        <v>16.737</v>
      </c>
      <c r="H29" s="32">
        <f>G29/G46*1000</f>
        <v>0.7016583317577426</v>
      </c>
      <c r="I29" s="27">
        <f>ROUND(C29/C46*I46,3)</f>
        <v>1.985</v>
      </c>
      <c r="J29" s="32">
        <f>I29/I46*1000</f>
        <v>0.7015720869737326</v>
      </c>
      <c r="K29" s="111"/>
      <c r="L29" s="11"/>
      <c r="M29" s="11"/>
      <c r="N29" s="16"/>
    </row>
    <row r="30" spans="1:14" ht="26.25" customHeight="1">
      <c r="A30" s="28" t="s">
        <v>36</v>
      </c>
      <c r="B30" s="26" t="s">
        <v>22</v>
      </c>
      <c r="C30" s="27">
        <v>23.43</v>
      </c>
      <c r="D30" s="32">
        <f>C30/C46*1000</f>
        <v>0.493973335559692</v>
      </c>
      <c r="E30" s="27">
        <f>ROUND(C30/C46*E46,2)</f>
        <v>10.25</v>
      </c>
      <c r="F30" s="32">
        <f>E30/E46*1000</f>
        <v>0.49400304402265954</v>
      </c>
      <c r="G30" s="27">
        <f>ROUND(C30/C46*G46,3)</f>
        <v>11.783</v>
      </c>
      <c r="H30" s="32">
        <f>G30/G46*1000</f>
        <v>0.4939738377906126</v>
      </c>
      <c r="I30" s="27">
        <f>ROUND(C30/C46*I46,3)</f>
        <v>1.398</v>
      </c>
      <c r="J30" s="32">
        <f>I30/I46*1000</f>
        <v>0.4941046738485028</v>
      </c>
      <c r="K30" s="111"/>
      <c r="L30" s="11"/>
      <c r="M30" s="11"/>
      <c r="N30" s="16"/>
    </row>
    <row r="31" spans="1:14" ht="18.75" customHeight="1">
      <c r="A31" s="30" t="s">
        <v>7</v>
      </c>
      <c r="B31" s="31" t="s">
        <v>175</v>
      </c>
      <c r="C31" s="27">
        <f>C32+C33+C34</f>
        <v>0</v>
      </c>
      <c r="D31" s="32">
        <f>C31/C46*1000</f>
        <v>0</v>
      </c>
      <c r="E31" s="27">
        <f>E32+E33+E34</f>
        <v>0</v>
      </c>
      <c r="F31" s="32">
        <f>E31/E46*1000</f>
        <v>0</v>
      </c>
      <c r="G31" s="27">
        <f>G32+G33+G34</f>
        <v>0</v>
      </c>
      <c r="H31" s="32">
        <f>G31/G46*1000</f>
        <v>0</v>
      </c>
      <c r="I31" s="27">
        <f>I32+I33+I34</f>
        <v>0</v>
      </c>
      <c r="J31" s="32">
        <f>I31/I46*1000</f>
        <v>0</v>
      </c>
      <c r="K31" s="18"/>
      <c r="L31" s="11"/>
      <c r="M31" s="11"/>
      <c r="N31" s="16"/>
    </row>
    <row r="32" spans="1:14" ht="20.25" customHeight="1">
      <c r="A32" s="28" t="s">
        <v>37</v>
      </c>
      <c r="B32" s="26" t="s">
        <v>21</v>
      </c>
      <c r="C32" s="27">
        <v>0</v>
      </c>
      <c r="D32" s="32">
        <f>C32/C46*1000</f>
        <v>0</v>
      </c>
      <c r="E32" s="27">
        <v>0</v>
      </c>
      <c r="F32" s="32">
        <f>E32/E46*1000</f>
        <v>0</v>
      </c>
      <c r="G32" s="27">
        <v>0</v>
      </c>
      <c r="H32" s="32">
        <f>G32/G46*1000</f>
        <v>0</v>
      </c>
      <c r="I32" s="27">
        <v>0</v>
      </c>
      <c r="J32" s="32">
        <f>I32/I46*1000</f>
        <v>0</v>
      </c>
      <c r="K32" s="18"/>
      <c r="L32" s="11"/>
      <c r="M32" s="11"/>
      <c r="N32" s="16"/>
    </row>
    <row r="33" spans="1:14" ht="18.75" customHeight="1">
      <c r="A33" s="28" t="s">
        <v>38</v>
      </c>
      <c r="B33" s="26" t="s">
        <v>172</v>
      </c>
      <c r="C33" s="27">
        <v>0</v>
      </c>
      <c r="D33" s="32">
        <f>C33/C46*1000</f>
        <v>0</v>
      </c>
      <c r="E33" s="27">
        <v>0</v>
      </c>
      <c r="F33" s="32">
        <f>E33/E46*1000</f>
        <v>0</v>
      </c>
      <c r="G33" s="27">
        <v>0</v>
      </c>
      <c r="H33" s="32">
        <f>G33/G46*1000</f>
        <v>0</v>
      </c>
      <c r="I33" s="27">
        <v>0</v>
      </c>
      <c r="J33" s="32">
        <f>I33/I46*1000</f>
        <v>0</v>
      </c>
      <c r="K33" s="18"/>
      <c r="L33" s="11"/>
      <c r="M33" s="11"/>
      <c r="N33" s="16"/>
    </row>
    <row r="34" spans="1:14" ht="23.25" customHeight="1">
      <c r="A34" s="28" t="s">
        <v>163</v>
      </c>
      <c r="B34" s="26" t="s">
        <v>22</v>
      </c>
      <c r="C34" s="27">
        <v>0</v>
      </c>
      <c r="D34" s="32">
        <f>C34/C46*1000</f>
        <v>0</v>
      </c>
      <c r="E34" s="27">
        <v>0</v>
      </c>
      <c r="F34" s="32">
        <f>E34/E46*1000</f>
        <v>0</v>
      </c>
      <c r="G34" s="27">
        <v>0</v>
      </c>
      <c r="H34" s="32">
        <f>G34/G46*1000</f>
        <v>0</v>
      </c>
      <c r="I34" s="27">
        <v>0</v>
      </c>
      <c r="J34" s="32">
        <f>I34/I46*1000</f>
        <v>0</v>
      </c>
      <c r="K34" s="18"/>
      <c r="L34" s="11"/>
      <c r="M34" s="11"/>
      <c r="N34" s="16"/>
    </row>
    <row r="35" spans="1:14" ht="21" customHeight="1">
      <c r="A35" s="30" t="s">
        <v>8</v>
      </c>
      <c r="B35" s="26" t="s">
        <v>89</v>
      </c>
      <c r="C35" s="27">
        <v>0</v>
      </c>
      <c r="D35" s="32">
        <f>C35/C46*1000</f>
        <v>0</v>
      </c>
      <c r="E35" s="27">
        <v>0</v>
      </c>
      <c r="F35" s="32">
        <f>E35/E46*1000</f>
        <v>0</v>
      </c>
      <c r="G35" s="27">
        <v>0</v>
      </c>
      <c r="H35" s="32">
        <f>G35/G46*1000</f>
        <v>0</v>
      </c>
      <c r="I35" s="27">
        <v>0</v>
      </c>
      <c r="J35" s="32">
        <f>I35/I46*1000</f>
        <v>0</v>
      </c>
      <c r="K35" s="18"/>
      <c r="L35" s="11"/>
      <c r="M35" s="11"/>
      <c r="N35" s="16"/>
    </row>
    <row r="36" spans="1:14" ht="24" customHeight="1">
      <c r="A36" s="30" t="s">
        <v>10</v>
      </c>
      <c r="B36" s="26" t="s">
        <v>39</v>
      </c>
      <c r="C36" s="27">
        <v>0</v>
      </c>
      <c r="D36" s="32">
        <f>C36/C46*1000</f>
        <v>0</v>
      </c>
      <c r="E36" s="27">
        <v>0</v>
      </c>
      <c r="F36" s="32">
        <f>E36/E46*1000</f>
        <v>0</v>
      </c>
      <c r="G36" s="27">
        <v>0</v>
      </c>
      <c r="H36" s="32">
        <f>G36/G46*1000</f>
        <v>0</v>
      </c>
      <c r="I36" s="27">
        <v>0</v>
      </c>
      <c r="J36" s="32">
        <f>I36/I46*1000</f>
        <v>0</v>
      </c>
      <c r="K36" s="11"/>
      <c r="L36" s="11"/>
      <c r="M36" s="11"/>
      <c r="N36" s="16"/>
    </row>
    <row r="37" spans="1:14" ht="21" customHeight="1">
      <c r="A37" s="30" t="s">
        <v>13</v>
      </c>
      <c r="B37" s="31" t="s">
        <v>90</v>
      </c>
      <c r="C37" s="32">
        <f>C11+C17+C27+C31+C35+C36</f>
        <v>14113.460000000001</v>
      </c>
      <c r="D37" s="32">
        <f>ROUND(D11+D17+D27+D31+D35+D36,2)</f>
        <v>297.55</v>
      </c>
      <c r="E37" s="32">
        <f>E11+E17+E27+E31+E35+E36</f>
        <v>5025.907</v>
      </c>
      <c r="F37" s="32">
        <f>ROUND(F11+F17+F27+F31+F35+F36,2)</f>
        <v>242.23</v>
      </c>
      <c r="G37" s="32">
        <f>G11+G17+G27+G31+G35+G36</f>
        <v>7807.036000000001</v>
      </c>
      <c r="H37" s="32">
        <f>ROUND(H11+H17+H27+H31+H35+H36,2)</f>
        <v>327.29</v>
      </c>
      <c r="I37" s="32">
        <f>I11+I17+I27+I31+I35+I36</f>
        <v>1280.521</v>
      </c>
      <c r="J37" s="32">
        <f>ROUND(J11+J17+J27+J31+J35+J36,5)</f>
        <v>452.58327</v>
      </c>
      <c r="K37" s="111"/>
      <c r="L37" s="11"/>
      <c r="M37" s="11"/>
      <c r="N37" s="16"/>
    </row>
    <row r="38" spans="1:14" ht="24" customHeight="1">
      <c r="A38" s="30" t="s">
        <v>45</v>
      </c>
      <c r="B38" s="45" t="s">
        <v>127</v>
      </c>
      <c r="C38" s="32">
        <v>0</v>
      </c>
      <c r="D38" s="32">
        <v>0</v>
      </c>
      <c r="E38" s="32">
        <v>0</v>
      </c>
      <c r="F38" s="32">
        <f>E38/E46*1000</f>
        <v>0</v>
      </c>
      <c r="G38" s="32">
        <v>0</v>
      </c>
      <c r="H38" s="32">
        <f>G38/G46*1000</f>
        <v>0</v>
      </c>
      <c r="I38" s="32">
        <v>0</v>
      </c>
      <c r="J38" s="32">
        <f>I38/I46*1000</f>
        <v>0</v>
      </c>
      <c r="K38" s="111"/>
      <c r="L38" s="11"/>
      <c r="M38" s="11"/>
      <c r="N38" s="16"/>
    </row>
    <row r="39" spans="1:12" ht="30.75" customHeight="1">
      <c r="A39" s="30" t="s">
        <v>48</v>
      </c>
      <c r="B39" s="45" t="s">
        <v>176</v>
      </c>
      <c r="C39" s="32">
        <f>((C43+C44)/((100-18)/100))</f>
        <v>633.9553658536586</v>
      </c>
      <c r="D39" s="32">
        <f>C39/C46*1000</f>
        <v>13.365644330631524</v>
      </c>
      <c r="E39" s="32">
        <f>((E43+E44)/((100-18)/100))</f>
        <v>277.32188581995297</v>
      </c>
      <c r="F39" s="32">
        <f>E39/E46*1000</f>
        <v>13.365644465284019</v>
      </c>
      <c r="G39" s="32">
        <f>((G43+G44)/((100-18)/100))</f>
        <v>318.8173418285866</v>
      </c>
      <c r="H39" s="32">
        <f>G39/G46*1000</f>
        <v>13.365647619219938</v>
      </c>
      <c r="I39" s="32">
        <f>((I43+I44)/((100-18)/100))</f>
        <v>37.81623576609454</v>
      </c>
      <c r="J39" s="32">
        <f>I39/I46*1000</f>
        <v>13.365650099702599</v>
      </c>
      <c r="K39" s="111"/>
      <c r="L39" s="11"/>
    </row>
    <row r="40" spans="1:11" ht="24.75" customHeight="1">
      <c r="A40" s="28" t="s">
        <v>73</v>
      </c>
      <c r="B40" s="26" t="s">
        <v>40</v>
      </c>
      <c r="C40" s="27">
        <f>C39*0.18</f>
        <v>114.11196585365855</v>
      </c>
      <c r="D40" s="32">
        <f>C40/C46*1000</f>
        <v>2.405815979513674</v>
      </c>
      <c r="E40" s="27">
        <f>E39*0.18</f>
        <v>49.917939447591536</v>
      </c>
      <c r="F40" s="32">
        <f>E40/E46*1000</f>
        <v>2.4058160037511236</v>
      </c>
      <c r="G40" s="27">
        <f>G39*0.18</f>
        <v>57.38712152914559</v>
      </c>
      <c r="H40" s="32">
        <f>G40/G46*1000</f>
        <v>2.4058165714595887</v>
      </c>
      <c r="I40" s="27">
        <f>I39*0.18</f>
        <v>6.8069224378970175</v>
      </c>
      <c r="J40" s="32">
        <f>I40/I46*1000</f>
        <v>2.4058170179464673</v>
      </c>
      <c r="K40" s="111"/>
    </row>
    <row r="41" spans="1:11" ht="21.75" customHeight="1">
      <c r="A41" s="28" t="s">
        <v>75</v>
      </c>
      <c r="B41" s="26" t="s">
        <v>96</v>
      </c>
      <c r="C41" s="27">
        <v>0</v>
      </c>
      <c r="D41" s="32">
        <f>C41/C46*1000</f>
        <v>0</v>
      </c>
      <c r="E41" s="27">
        <v>0</v>
      </c>
      <c r="F41" s="32">
        <f>E41/E46*1000</f>
        <v>0</v>
      </c>
      <c r="G41" s="27">
        <v>0</v>
      </c>
      <c r="H41" s="32">
        <f>G41/G46*1000</f>
        <v>0</v>
      </c>
      <c r="I41" s="27">
        <v>0</v>
      </c>
      <c r="J41" s="32">
        <f>I41/I46*1000</f>
        <v>0</v>
      </c>
      <c r="K41" s="111"/>
    </row>
    <row r="42" spans="1:11" ht="24.75" customHeight="1">
      <c r="A42" s="28" t="s">
        <v>77</v>
      </c>
      <c r="B42" s="26" t="s">
        <v>41</v>
      </c>
      <c r="C42" s="27">
        <v>0</v>
      </c>
      <c r="D42" s="32">
        <f>C42/C46*1000</f>
        <v>0</v>
      </c>
      <c r="E42" s="27">
        <v>0</v>
      </c>
      <c r="F42" s="32">
        <f>E42/E46*1000</f>
        <v>0</v>
      </c>
      <c r="G42" s="27">
        <v>0</v>
      </c>
      <c r="H42" s="32">
        <f>G42/G46*1000</f>
        <v>0</v>
      </c>
      <c r="I42" s="27">
        <v>0</v>
      </c>
      <c r="J42" s="32">
        <f>I42/I46*1000</f>
        <v>0</v>
      </c>
      <c r="K42" s="111"/>
    </row>
    <row r="43" spans="1:11" ht="24.75" customHeight="1">
      <c r="A43" s="28" t="s">
        <v>79</v>
      </c>
      <c r="B43" s="26" t="s">
        <v>42</v>
      </c>
      <c r="C43" s="27">
        <v>400</v>
      </c>
      <c r="D43" s="32">
        <f>C43/C46*1000</f>
        <v>8.433176876819324</v>
      </c>
      <c r="E43" s="27">
        <f>C43/C46*E46</f>
        <v>174.97880637236142</v>
      </c>
      <c r="F43" s="32">
        <f>E43/E46*1000</f>
        <v>8.433176876819324</v>
      </c>
      <c r="G43" s="27">
        <f>C43/C46*G46</f>
        <v>201.160700299441</v>
      </c>
      <c r="H43" s="32">
        <f>G43/G46*1000</f>
        <v>8.433176876819324</v>
      </c>
      <c r="I43" s="27">
        <f>C43/C46*I46</f>
        <v>23.860493328197524</v>
      </c>
      <c r="J43" s="32">
        <f>I43/I46*1000</f>
        <v>8.433176876819324</v>
      </c>
      <c r="K43" s="111"/>
    </row>
    <row r="44" spans="1:11" ht="30.75" customHeight="1">
      <c r="A44" s="28" t="s">
        <v>178</v>
      </c>
      <c r="B44" s="26" t="s">
        <v>43</v>
      </c>
      <c r="C44" s="27">
        <f>(C37-C17)*0.02</f>
        <v>119.84340000000002</v>
      </c>
      <c r="D44" s="32">
        <f>C44/C46*1000</f>
        <v>2.5266514742985233</v>
      </c>
      <c r="E44" s="27">
        <f>(E37-E17)*0.02</f>
        <v>52.42514</v>
      </c>
      <c r="F44" s="32">
        <f>E44/E46*1000</f>
        <v>2.5266515847135698</v>
      </c>
      <c r="G44" s="27">
        <f>(G37-G17)*0.02</f>
        <v>60.269520000000014</v>
      </c>
      <c r="H44" s="32">
        <f>G44/G46*1000</f>
        <v>2.526654170941024</v>
      </c>
      <c r="I44" s="27">
        <f>(I37-I17)*0.02</f>
        <v>7.148819999999999</v>
      </c>
      <c r="J44" s="32">
        <f>I44/I46*1000</f>
        <v>2.526656204936805</v>
      </c>
      <c r="K44" s="111"/>
    </row>
    <row r="45" spans="1:11" ht="55.5" customHeight="1">
      <c r="A45" s="30" t="s">
        <v>49</v>
      </c>
      <c r="B45" s="26" t="s">
        <v>255</v>
      </c>
      <c r="C45" s="32">
        <f>C37+C38+C39</f>
        <v>14747.41536585366</v>
      </c>
      <c r="D45" s="32">
        <f>D37+D39</f>
        <v>310.91564433063155</v>
      </c>
      <c r="E45" s="32">
        <f>E37+E38+E39</f>
        <v>5303.228885819954</v>
      </c>
      <c r="F45" s="32">
        <f>F37+F39</f>
        <v>255.595644465284</v>
      </c>
      <c r="G45" s="32">
        <f>G37+G38+G39</f>
        <v>8125.853341828588</v>
      </c>
      <c r="H45" s="32">
        <f>H37+H39</f>
        <v>340.65564761921996</v>
      </c>
      <c r="I45" s="32">
        <f>I37+I38+I39</f>
        <v>1318.3372357660944</v>
      </c>
      <c r="J45" s="32">
        <f>J37+J39</f>
        <v>465.9489200997026</v>
      </c>
      <c r="K45" s="111"/>
    </row>
    <row r="46" spans="1:10" ht="48" customHeight="1">
      <c r="A46" s="30" t="s">
        <v>50</v>
      </c>
      <c r="B46" s="125" t="s">
        <v>251</v>
      </c>
      <c r="C46" s="32">
        <f>E46+G46+I46</f>
        <v>47431.71000000001</v>
      </c>
      <c r="D46" s="32"/>
      <c r="E46" s="49">
        <v>20748.86</v>
      </c>
      <c r="F46" s="49"/>
      <c r="G46" s="32">
        <v>23853.49</v>
      </c>
      <c r="H46" s="32"/>
      <c r="I46" s="32">
        <v>2829.36</v>
      </c>
      <c r="J46" s="32"/>
    </row>
    <row r="47" spans="1:10" ht="11.2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 ht="22.5" customHeight="1">
      <c r="A48" s="261" t="s">
        <v>262</v>
      </c>
      <c r="B48" s="184"/>
      <c r="C48" s="184"/>
      <c r="D48" s="184"/>
      <c r="E48" s="184"/>
      <c r="F48" s="184"/>
      <c r="G48" s="184"/>
      <c r="H48" s="184"/>
      <c r="I48" s="184"/>
      <c r="J48" s="184"/>
    </row>
    <row r="49" spans="1:10" ht="11.2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 ht="11.2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</row>
  </sheetData>
  <sheetProtection/>
  <mergeCells count="13">
    <mergeCell ref="E8:F8"/>
    <mergeCell ref="G8:H8"/>
    <mergeCell ref="I8:J8"/>
    <mergeCell ref="A48:J48"/>
    <mergeCell ref="A1:B1"/>
    <mergeCell ref="I1:J1"/>
    <mergeCell ref="G2:J2"/>
    <mergeCell ref="A4:J4"/>
    <mergeCell ref="A5:J5"/>
    <mergeCell ref="A6:J6"/>
    <mergeCell ref="A8:A9"/>
    <mergeCell ref="B8:B9"/>
    <mergeCell ref="C8:D8"/>
  </mergeCells>
  <printOptions/>
  <pageMargins left="0.7" right="0.7" top="0.75" bottom="0.75" header="0.3" footer="0.3"/>
  <pageSetup horizontalDpi="600" verticalDpi="600" orientation="portrait" paperSize="9" scale="3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7"/>
  <sheetViews>
    <sheetView view="pageBreakPreview" zoomScale="60" zoomScaleNormal="66" zoomScalePageLayoutView="0" workbookViewId="0" topLeftCell="A25">
      <selection activeCell="C15" sqref="C15"/>
    </sheetView>
  </sheetViews>
  <sheetFormatPr defaultColWidth="18.00390625" defaultRowHeight="12.75"/>
  <cols>
    <col min="1" max="1" width="16.125" style="1" customWidth="1"/>
    <col min="2" max="2" width="60.375" style="1" customWidth="1"/>
    <col min="3" max="3" width="18.00390625" style="1" customWidth="1"/>
    <col min="4" max="4" width="15.875" style="1" customWidth="1"/>
    <col min="5" max="5" width="18.25390625" style="1" customWidth="1"/>
    <col min="6" max="6" width="15.25390625" style="1" customWidth="1"/>
    <col min="7" max="7" width="17.25390625" style="1" customWidth="1"/>
    <col min="8" max="8" width="16.00390625" style="1" customWidth="1"/>
    <col min="9" max="9" width="18.875" style="1" customWidth="1"/>
    <col min="10" max="10" width="16.625" style="1" customWidth="1"/>
    <col min="11" max="11" width="0.2421875" style="1" customWidth="1"/>
    <col min="12" max="12" width="11.125" style="1" customWidth="1"/>
    <col min="13" max="13" width="11.375" style="1" bestFit="1" customWidth="1"/>
    <col min="14" max="14" width="14.75390625" style="1" customWidth="1"/>
    <col min="15" max="253" width="9.125" style="1" customWidth="1"/>
    <col min="254" max="254" width="14.875" style="1" customWidth="1"/>
    <col min="255" max="255" width="60.375" style="1" customWidth="1"/>
    <col min="256" max="16384" width="18.00390625" style="1" customWidth="1"/>
  </cols>
  <sheetData>
    <row r="1" spans="1:12" ht="18.75" customHeight="1">
      <c r="A1" s="191"/>
      <c r="B1" s="191"/>
      <c r="C1" s="22"/>
      <c r="D1" s="22"/>
      <c r="E1" s="22"/>
      <c r="F1" s="22"/>
      <c r="G1" s="22"/>
      <c r="H1" s="145"/>
      <c r="I1" s="262" t="s">
        <v>102</v>
      </c>
      <c r="J1" s="192"/>
      <c r="K1" s="146"/>
      <c r="L1" s="146"/>
    </row>
    <row r="2" spans="1:10" ht="23.25" customHeight="1">
      <c r="A2" s="22"/>
      <c r="B2" s="22"/>
      <c r="C2" s="22"/>
      <c r="D2" s="22"/>
      <c r="E2" s="22"/>
      <c r="F2" s="22"/>
      <c r="G2" s="262" t="s">
        <v>221</v>
      </c>
      <c r="H2" s="192"/>
      <c r="I2" s="192"/>
      <c r="J2" s="192"/>
    </row>
    <row r="3" spans="1:7" ht="27.75" customHeight="1">
      <c r="A3" s="22"/>
      <c r="B3" s="22"/>
      <c r="C3" s="22"/>
      <c r="D3" s="22"/>
      <c r="E3" s="22"/>
      <c r="F3" s="22"/>
      <c r="G3" s="146"/>
    </row>
    <row r="4" spans="1:10" ht="30" customHeight="1">
      <c r="A4" s="271" t="s">
        <v>256</v>
      </c>
      <c r="B4" s="272"/>
      <c r="C4" s="272"/>
      <c r="D4" s="272"/>
      <c r="E4" s="272"/>
      <c r="F4" s="272"/>
      <c r="G4" s="272"/>
      <c r="H4" s="272"/>
      <c r="I4" s="272"/>
      <c r="J4" s="274"/>
    </row>
    <row r="5" spans="1:10" ht="52.5" customHeight="1">
      <c r="A5" s="201" t="s">
        <v>267</v>
      </c>
      <c r="B5" s="202"/>
      <c r="C5" s="202"/>
      <c r="D5" s="202"/>
      <c r="E5" s="202"/>
      <c r="F5" s="202"/>
      <c r="G5" s="202"/>
      <c r="H5" s="202"/>
      <c r="I5" s="202"/>
      <c r="J5" s="192"/>
    </row>
    <row r="6" spans="1:10" ht="18.75">
      <c r="A6" s="22"/>
      <c r="B6" s="22"/>
      <c r="C6" s="22"/>
      <c r="D6" s="22"/>
      <c r="E6" s="22"/>
      <c r="F6" s="22"/>
      <c r="G6" s="22"/>
      <c r="H6" s="22"/>
      <c r="I6" s="22"/>
      <c r="J6" s="22"/>
    </row>
    <row r="7" spans="1:10" ht="25.5">
      <c r="A7" s="22"/>
      <c r="B7" s="22"/>
      <c r="C7" s="22"/>
      <c r="D7" s="22"/>
      <c r="E7" s="22"/>
      <c r="F7" s="22"/>
      <c r="G7" s="22"/>
      <c r="H7" s="22"/>
      <c r="I7" s="113"/>
      <c r="J7" s="113"/>
    </row>
    <row r="8" spans="1:10" ht="66" customHeight="1">
      <c r="A8" s="200" t="s">
        <v>16</v>
      </c>
      <c r="B8" s="200" t="s">
        <v>17</v>
      </c>
      <c r="C8" s="267" t="s">
        <v>18</v>
      </c>
      <c r="D8" s="268"/>
      <c r="E8" s="269" t="s">
        <v>224</v>
      </c>
      <c r="F8" s="270"/>
      <c r="G8" s="269" t="s">
        <v>225</v>
      </c>
      <c r="H8" s="270"/>
      <c r="I8" s="269" t="s">
        <v>249</v>
      </c>
      <c r="J8" s="270"/>
    </row>
    <row r="9" spans="1:13" ht="54" customHeight="1">
      <c r="A9" s="200"/>
      <c r="B9" s="200"/>
      <c r="C9" s="25" t="s">
        <v>227</v>
      </c>
      <c r="D9" s="25" t="s">
        <v>88</v>
      </c>
      <c r="E9" s="25" t="s">
        <v>227</v>
      </c>
      <c r="F9" s="25" t="s">
        <v>88</v>
      </c>
      <c r="G9" s="25" t="s">
        <v>227</v>
      </c>
      <c r="H9" s="25" t="s">
        <v>88</v>
      </c>
      <c r="I9" s="25" t="s">
        <v>227</v>
      </c>
      <c r="J9" s="25" t="s">
        <v>88</v>
      </c>
      <c r="L9" s="12"/>
      <c r="M9" s="12"/>
    </row>
    <row r="10" spans="1:13" ht="30" customHeight="1">
      <c r="A10" s="25">
        <v>1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25">
        <v>10</v>
      </c>
      <c r="K10" s="11"/>
      <c r="L10" s="12"/>
      <c r="M10" s="12"/>
    </row>
    <row r="11" spans="1:14" ht="24" customHeight="1">
      <c r="A11" s="30">
        <v>1</v>
      </c>
      <c r="B11" s="31" t="s">
        <v>169</v>
      </c>
      <c r="C11" s="32">
        <f aca="true" t="shared" si="0" ref="C11:I11">C13+C14+C15+C19</f>
        <v>400.83</v>
      </c>
      <c r="D11" s="32">
        <f>C11/C42*1000</f>
        <v>8.450675718838724</v>
      </c>
      <c r="E11" s="32">
        <f t="shared" si="0"/>
        <v>175.339</v>
      </c>
      <c r="F11" s="32">
        <f>E11/E42*1000</f>
        <v>8.450536559598936</v>
      </c>
      <c r="G11" s="32">
        <f t="shared" si="0"/>
        <v>201.58100000000002</v>
      </c>
      <c r="H11" s="32">
        <f>G11/G42*1000</f>
        <v>8.450796927409785</v>
      </c>
      <c r="I11" s="32">
        <f t="shared" si="0"/>
        <v>23.911</v>
      </c>
      <c r="J11" s="49">
        <f>I11/I42*1000</f>
        <v>8.451027794271496</v>
      </c>
      <c r="K11" s="156">
        <f>Вироб!C10+'Трансп.'!C11+'Постач.'!C11</f>
        <v>108157.78</v>
      </c>
      <c r="L11" s="18"/>
      <c r="M11" s="18"/>
      <c r="N11" s="16"/>
    </row>
    <row r="12" spans="1:14" ht="25.5" customHeight="1">
      <c r="A12" s="28"/>
      <c r="B12" s="29" t="s">
        <v>92</v>
      </c>
      <c r="C12" s="153">
        <f aca="true" t="shared" si="1" ref="C12:I12">C13+C14+C15</f>
        <v>388.58</v>
      </c>
      <c r="D12" s="32">
        <f>C12/C42*1000</f>
        <v>8.192409676986133</v>
      </c>
      <c r="E12" s="153">
        <f t="shared" si="1"/>
        <v>169.98</v>
      </c>
      <c r="F12" s="32">
        <f>E12/E42*1000</f>
        <v>8.19225730955821</v>
      </c>
      <c r="G12" s="153">
        <f t="shared" si="1"/>
        <v>195.42000000000002</v>
      </c>
      <c r="H12" s="32">
        <f>G12/G42*1000</f>
        <v>8.192511871428458</v>
      </c>
      <c r="I12" s="153">
        <f t="shared" si="1"/>
        <v>23.18</v>
      </c>
      <c r="J12" s="49">
        <f>I12/I42*1000</f>
        <v>8.192665479118952</v>
      </c>
      <c r="K12" s="156">
        <f>Вироб!C11+'Трансп.'!C12+'Постач.'!C12</f>
        <v>105572.1</v>
      </c>
      <c r="L12" s="18"/>
      <c r="M12" s="18"/>
      <c r="N12" s="16"/>
    </row>
    <row r="13" spans="1:13" ht="24" customHeight="1">
      <c r="A13" s="28" t="s">
        <v>2</v>
      </c>
      <c r="B13" s="26" t="s">
        <v>70</v>
      </c>
      <c r="C13" s="27">
        <v>0</v>
      </c>
      <c r="D13" s="32">
        <f>C13/C42*1000</f>
        <v>0</v>
      </c>
      <c r="E13" s="27">
        <v>0</v>
      </c>
      <c r="F13" s="32">
        <f>E13/E42*1000</f>
        <v>0</v>
      </c>
      <c r="G13" s="27">
        <v>0</v>
      </c>
      <c r="H13" s="32">
        <f>G13/G42*1000</f>
        <v>0</v>
      </c>
      <c r="I13" s="27">
        <v>0</v>
      </c>
      <c r="J13" s="49">
        <f>I13/I42*1000</f>
        <v>0</v>
      </c>
      <c r="K13" s="18"/>
      <c r="L13" s="12"/>
      <c r="M13" s="12"/>
    </row>
    <row r="14" spans="1:14" ht="27.75" customHeight="1">
      <c r="A14" s="28" t="s">
        <v>3</v>
      </c>
      <c r="B14" s="26" t="s">
        <v>19</v>
      </c>
      <c r="C14" s="27">
        <f>'ДОДАТОК 3'!D16</f>
        <v>307.63</v>
      </c>
      <c r="D14" s="32">
        <f>C14/C42*1000</f>
        <v>6.485745506539822</v>
      </c>
      <c r="E14" s="27">
        <f>ROUND(C14/C42*E42,2)</f>
        <v>134.57</v>
      </c>
      <c r="F14" s="32">
        <f>E14/E42*1000</f>
        <v>6.4856575252809066</v>
      </c>
      <c r="G14" s="27">
        <f>ROUND(C14/C42*G42,2)</f>
        <v>154.71</v>
      </c>
      <c r="H14" s="32">
        <f>G14/G42*1000</f>
        <v>6.485843371347337</v>
      </c>
      <c r="I14" s="27">
        <f>ROUND(C14/C42*I42,3)</f>
        <v>18.351</v>
      </c>
      <c r="J14" s="49">
        <f>I14/I42*1000</f>
        <v>6.485919077105776</v>
      </c>
      <c r="K14" s="12"/>
      <c r="L14" s="20"/>
      <c r="M14" s="11"/>
      <c r="N14" s="17"/>
    </row>
    <row r="15" spans="1:14" ht="23.25" customHeight="1">
      <c r="A15" s="28" t="s">
        <v>28</v>
      </c>
      <c r="B15" s="26" t="s">
        <v>171</v>
      </c>
      <c r="C15" s="27">
        <f aca="true" t="shared" si="2" ref="C15:I15">C16+C17+C18</f>
        <v>80.95</v>
      </c>
      <c r="D15" s="32">
        <f>C15/C42*1000</f>
        <v>1.706664170446311</v>
      </c>
      <c r="E15" s="27">
        <f t="shared" si="2"/>
        <v>35.41</v>
      </c>
      <c r="F15" s="32">
        <f>E15/E42*1000</f>
        <v>1.7065997842773046</v>
      </c>
      <c r="G15" s="27">
        <f t="shared" si="2"/>
        <v>40.71</v>
      </c>
      <c r="H15" s="32">
        <f>G15/G42*1000</f>
        <v>1.7066685000811201</v>
      </c>
      <c r="I15" s="27">
        <f t="shared" si="2"/>
        <v>4.829</v>
      </c>
      <c r="J15" s="49">
        <f>I15/I42*1000</f>
        <v>1.706746402013176</v>
      </c>
      <c r="K15" s="11"/>
      <c r="L15" s="18"/>
      <c r="M15" s="18"/>
      <c r="N15" s="16"/>
    </row>
    <row r="16" spans="1:14" ht="25.5" customHeight="1">
      <c r="A16" s="28" t="s">
        <v>29</v>
      </c>
      <c r="B16" s="26" t="s">
        <v>172</v>
      </c>
      <c r="C16" s="27">
        <f>'ДОДАТОК 3'!D18</f>
        <v>67.68</v>
      </c>
      <c r="D16" s="32">
        <f>C16/C42*1000</f>
        <v>1.4268935275578298</v>
      </c>
      <c r="E16" s="27">
        <f>ROUND(C16/C42*E42,2)</f>
        <v>29.61</v>
      </c>
      <c r="F16" s="32">
        <f>E16/E42*1000</f>
        <v>1.427066354488873</v>
      </c>
      <c r="G16" s="27">
        <f>ROUND(C16/C42*G42,2)</f>
        <v>34.04</v>
      </c>
      <c r="H16" s="32">
        <f>G16/G42*1000</f>
        <v>1.4270448475254562</v>
      </c>
      <c r="I16" s="27">
        <f>ROUND(C16/C42*I42,3)</f>
        <v>4.037</v>
      </c>
      <c r="J16" s="49">
        <f>I16/I42*1000</f>
        <v>1.4268244408629513</v>
      </c>
      <c r="K16" s="18"/>
      <c r="L16" s="18"/>
      <c r="M16" s="11"/>
      <c r="N16" s="11"/>
    </row>
    <row r="17" spans="1:14" ht="21.75" customHeight="1">
      <c r="A17" s="28" t="s">
        <v>30</v>
      </c>
      <c r="B17" s="26" t="s">
        <v>101</v>
      </c>
      <c r="C17" s="27">
        <v>0</v>
      </c>
      <c r="D17" s="32">
        <f>C17/C42*1000</f>
        <v>0</v>
      </c>
      <c r="E17" s="27">
        <f>ROUND(C17/C42*E42,2)</f>
        <v>0</v>
      </c>
      <c r="F17" s="32">
        <f>E17/E42*1000</f>
        <v>0</v>
      </c>
      <c r="G17" s="27">
        <f>ROUND(C17/C42*G42,2)</f>
        <v>0</v>
      </c>
      <c r="H17" s="32">
        <f>G17/G42*1000</f>
        <v>0</v>
      </c>
      <c r="I17" s="27">
        <f>ROUND(C17/C42*I42,3)</f>
        <v>0</v>
      </c>
      <c r="J17" s="49">
        <f>I17/I42*1000</f>
        <v>0</v>
      </c>
      <c r="K17" s="18"/>
      <c r="L17" s="11"/>
      <c r="M17" s="11"/>
      <c r="N17" s="11"/>
    </row>
    <row r="18" spans="1:11" ht="25.5" customHeight="1">
      <c r="A18" s="28" t="s">
        <v>31</v>
      </c>
      <c r="B18" s="26" t="s">
        <v>20</v>
      </c>
      <c r="C18" s="27">
        <f>'ДОДАТОК 3'!D20</f>
        <v>13.27</v>
      </c>
      <c r="D18" s="32">
        <f>C18/C42*1000</f>
        <v>0.2797706428884811</v>
      </c>
      <c r="E18" s="27">
        <f>ROUND(C18/C42*E42,2)</f>
        <v>5.8</v>
      </c>
      <c r="F18" s="32">
        <f>E18/E42*1000</f>
        <v>0.2795334297884317</v>
      </c>
      <c r="G18" s="27">
        <f>ROUND(C18/C42*G42,2)</f>
        <v>6.67</v>
      </c>
      <c r="H18" s="32">
        <f>G18/G42*1000</f>
        <v>0.27962365255566374</v>
      </c>
      <c r="I18" s="27">
        <f>ROUND(C18/C42*I42,3)</f>
        <v>0.792</v>
      </c>
      <c r="J18" s="49">
        <f>I18/I42*1000</f>
        <v>0.2799219611502248</v>
      </c>
      <c r="K18" s="11"/>
    </row>
    <row r="19" spans="1:13" ht="25.5" customHeight="1">
      <c r="A19" s="28" t="s">
        <v>32</v>
      </c>
      <c r="B19" s="26" t="s">
        <v>173</v>
      </c>
      <c r="C19" s="27">
        <f>SUM(C20:C22)</f>
        <v>12.25</v>
      </c>
      <c r="D19" s="32">
        <f>C19/C42*1000</f>
        <v>0.25826604185259183</v>
      </c>
      <c r="E19" s="27">
        <f>SUM(E20:E22)</f>
        <v>5.359</v>
      </c>
      <c r="F19" s="32">
        <f>E19/E42*1000</f>
        <v>0.25827925004072516</v>
      </c>
      <c r="G19" s="27">
        <f>SUM(G20:G22)</f>
        <v>6.161</v>
      </c>
      <c r="H19" s="32">
        <f>G19/G42*1000</f>
        <v>0.258285055981326</v>
      </c>
      <c r="I19" s="27">
        <f>SUM(I20:I22)</f>
        <v>0.7310000000000001</v>
      </c>
      <c r="J19" s="49">
        <f>I19/I42*1000</f>
        <v>0.2583623151525434</v>
      </c>
      <c r="L19" s="17"/>
      <c r="M19" s="16"/>
    </row>
    <row r="20" spans="1:13" ht="27" customHeight="1">
      <c r="A20" s="28" t="s">
        <v>33</v>
      </c>
      <c r="B20" s="26" t="s">
        <v>21</v>
      </c>
      <c r="C20" s="27">
        <v>6.53</v>
      </c>
      <c r="D20" s="32">
        <f>C20/C42*1000</f>
        <v>0.13767161251407548</v>
      </c>
      <c r="E20" s="27">
        <f>ROUND(C20/C42*E42,3)</f>
        <v>2.857</v>
      </c>
      <c r="F20" s="32">
        <f>E20/E42*1000</f>
        <v>0.13769431188026715</v>
      </c>
      <c r="G20" s="27">
        <f>ROUND(C20/C42*G42,3)</f>
        <v>3.284</v>
      </c>
      <c r="H20" s="32">
        <f>G20/G42*1000</f>
        <v>0.13767377436173908</v>
      </c>
      <c r="I20" s="27">
        <f>ROUND(C20/C42*I42,3)</f>
        <v>0.39</v>
      </c>
      <c r="J20" s="49">
        <f>I20/I42*1000</f>
        <v>0.13784035965730765</v>
      </c>
      <c r="K20" s="17"/>
      <c r="L20" s="11"/>
      <c r="M20" s="16"/>
    </row>
    <row r="21" spans="1:13" ht="26.25" customHeight="1">
      <c r="A21" s="28" t="s">
        <v>34</v>
      </c>
      <c r="B21" s="26" t="s">
        <v>172</v>
      </c>
      <c r="C21" s="27">
        <v>1.34</v>
      </c>
      <c r="D21" s="32">
        <f>C21/C42*1000</f>
        <v>0.02825114253734474</v>
      </c>
      <c r="E21" s="27">
        <f>ROUND(C21/C42*E42,3)</f>
        <v>0.586</v>
      </c>
      <c r="F21" s="32">
        <f>E21/E42*1000</f>
        <v>0.028242515492417415</v>
      </c>
      <c r="G21" s="27">
        <f>ROUND(C21/C42*G42,3)</f>
        <v>0.674</v>
      </c>
      <c r="H21" s="32">
        <f>G21/G42*1000</f>
        <v>0.02825582336169676</v>
      </c>
      <c r="I21" s="27">
        <f>ROUND(C21/C42*I42,3)</f>
        <v>0.08</v>
      </c>
      <c r="J21" s="49">
        <f>I21/I42*1000</f>
        <v>0.028274945570729775</v>
      </c>
      <c r="K21" s="11"/>
      <c r="L21" s="11"/>
      <c r="M21" s="16"/>
    </row>
    <row r="22" spans="1:13" ht="29.25" customHeight="1">
      <c r="A22" s="28" t="s">
        <v>35</v>
      </c>
      <c r="B22" s="26" t="s">
        <v>22</v>
      </c>
      <c r="C22" s="27">
        <v>4.38</v>
      </c>
      <c r="D22" s="32">
        <f>C22/C42*1000</f>
        <v>0.0923432868011716</v>
      </c>
      <c r="E22" s="27">
        <f>ROUND(C22/C42*E42,3)</f>
        <v>1.916</v>
      </c>
      <c r="F22" s="32">
        <f>E22/E42*1000</f>
        <v>0.09234242266804055</v>
      </c>
      <c r="G22" s="27">
        <f>ROUND(C22/C42*G42,3)</f>
        <v>2.203</v>
      </c>
      <c r="H22" s="32">
        <f>G22/G42*1000</f>
        <v>0.09235545825789014</v>
      </c>
      <c r="I22" s="27">
        <f>ROUND(C22/C42*I42,3)</f>
        <v>0.261</v>
      </c>
      <c r="J22" s="49">
        <f>I22/I42*1000</f>
        <v>0.0922470099245059</v>
      </c>
      <c r="K22" s="11"/>
      <c r="L22" s="19"/>
      <c r="M22" s="19"/>
    </row>
    <row r="23" spans="1:13" ht="30" customHeight="1">
      <c r="A23" s="30" t="s">
        <v>4</v>
      </c>
      <c r="B23" s="31" t="s">
        <v>174</v>
      </c>
      <c r="C23" s="32">
        <f aca="true" t="shared" si="3" ref="C23:I23">SUM(C24:C26)</f>
        <v>15.16</v>
      </c>
      <c r="D23" s="32">
        <f>C23/C42*1000</f>
        <v>0.3196174036314524</v>
      </c>
      <c r="E23" s="32">
        <f t="shared" si="3"/>
        <v>6.63</v>
      </c>
      <c r="F23" s="32">
        <f>E23/E42*1000</f>
        <v>0.3195356274995349</v>
      </c>
      <c r="G23" s="32">
        <f t="shared" si="3"/>
        <v>7.625</v>
      </c>
      <c r="H23" s="32">
        <f>G23/G42*1000</f>
        <v>0.3196597227491658</v>
      </c>
      <c r="I23" s="32">
        <f t="shared" si="3"/>
        <v>0.904</v>
      </c>
      <c r="J23" s="49">
        <f>I23/I42*1000</f>
        <v>0.3195068849492465</v>
      </c>
      <c r="K23" s="19"/>
      <c r="L23" s="17"/>
      <c r="M23" s="16"/>
    </row>
    <row r="24" spans="1:13" ht="25.5" customHeight="1">
      <c r="A24" s="28" t="s">
        <v>5</v>
      </c>
      <c r="B24" s="26" t="s">
        <v>21</v>
      </c>
      <c r="C24" s="27">
        <v>11.22</v>
      </c>
      <c r="D24" s="32">
        <f>C24/C42*1000</f>
        <v>0.2365506113947821</v>
      </c>
      <c r="E24" s="27">
        <f>ROUND(C24/C42*E42,2)</f>
        <v>4.91</v>
      </c>
      <c r="F24" s="32">
        <f>E24/E42*1000</f>
        <v>0.2366395069415862</v>
      </c>
      <c r="G24" s="27">
        <f>ROUND(C24/C42*G42,3)</f>
        <v>5.643</v>
      </c>
      <c r="H24" s="32">
        <f>G24/G42*1000</f>
        <v>0.23656915612767773</v>
      </c>
      <c r="I24" s="27">
        <f>ROUND(C24/C42*I42,3)</f>
        <v>0.669</v>
      </c>
      <c r="J24" s="49">
        <f>I24/I42*1000</f>
        <v>0.23644923233522774</v>
      </c>
      <c r="K24" s="17"/>
      <c r="L24" s="11"/>
      <c r="M24" s="16"/>
    </row>
    <row r="25" spans="1:13" ht="24" customHeight="1">
      <c r="A25" s="28" t="s">
        <v>6</v>
      </c>
      <c r="B25" s="26" t="s">
        <v>172</v>
      </c>
      <c r="C25" s="27">
        <v>2.31</v>
      </c>
      <c r="D25" s="32">
        <f>C25/C42*1000</f>
        <v>0.048701596463631605</v>
      </c>
      <c r="E25" s="27">
        <f>ROUND(C25/C42*E42,2)</f>
        <v>1.01</v>
      </c>
      <c r="F25" s="32">
        <f>E25/E42*1000</f>
        <v>0.048677373118330355</v>
      </c>
      <c r="G25" s="27">
        <f>ROUND(C25/C42*G42,3)</f>
        <v>1.162</v>
      </c>
      <c r="H25" s="32">
        <f>G25/G42*1000</f>
        <v>0.048714045617643364</v>
      </c>
      <c r="I25" s="27">
        <f>ROUND(C25/C42*I42,3)</f>
        <v>0.138</v>
      </c>
      <c r="J25" s="49">
        <f>I25/I42*1000</f>
        <v>0.04877428110950886</v>
      </c>
      <c r="K25" s="11"/>
      <c r="L25" s="11"/>
      <c r="M25" s="16"/>
    </row>
    <row r="26" spans="1:13" ht="25.5" customHeight="1">
      <c r="A26" s="28" t="s">
        <v>36</v>
      </c>
      <c r="B26" s="26" t="s">
        <v>22</v>
      </c>
      <c r="C26" s="27">
        <v>1.63</v>
      </c>
      <c r="D26" s="32">
        <f>C26/C42*1000</f>
        <v>0.034365195773038745</v>
      </c>
      <c r="E26" s="27">
        <f>ROUND(C26/C42*E42,2)</f>
        <v>0.71</v>
      </c>
      <c r="F26" s="32">
        <f>E26/E42*1000</f>
        <v>0.03421874743961836</v>
      </c>
      <c r="G26" s="27">
        <f>ROUND(C26/C42*G42,3)</f>
        <v>0.82</v>
      </c>
      <c r="H26" s="32">
        <f>G26/G42*1000</f>
        <v>0.034376521003844716</v>
      </c>
      <c r="I26" s="27">
        <f>ROUND(C26/C42*I42,3)</f>
        <v>0.097</v>
      </c>
      <c r="J26" s="49">
        <f>I26/I42*1000</f>
        <v>0.03428337150450985</v>
      </c>
      <c r="K26" s="11"/>
      <c r="L26" s="11"/>
      <c r="M26" s="16"/>
    </row>
    <row r="27" spans="1:13" ht="26.25" customHeight="1">
      <c r="A27" s="30" t="s">
        <v>7</v>
      </c>
      <c r="B27" s="31" t="s">
        <v>175</v>
      </c>
      <c r="C27" s="27">
        <f aca="true" t="shared" si="4" ref="C27:I27">C28+C29+C30</f>
        <v>0</v>
      </c>
      <c r="D27" s="32">
        <f>C27/C42*1000</f>
        <v>0</v>
      </c>
      <c r="E27" s="27">
        <f t="shared" si="4"/>
        <v>0</v>
      </c>
      <c r="F27" s="32">
        <f>E27/E42*1000</f>
        <v>0</v>
      </c>
      <c r="G27" s="27">
        <f t="shared" si="4"/>
        <v>0</v>
      </c>
      <c r="H27" s="32">
        <f>G27/G42*1000</f>
        <v>0</v>
      </c>
      <c r="I27" s="27">
        <f t="shared" si="4"/>
        <v>0</v>
      </c>
      <c r="J27" s="49">
        <f>I27/I42*1000</f>
        <v>0</v>
      </c>
      <c r="K27" s="11"/>
      <c r="L27" s="11"/>
      <c r="M27" s="16"/>
    </row>
    <row r="28" spans="1:13" ht="21.75" customHeight="1">
      <c r="A28" s="28" t="s">
        <v>37</v>
      </c>
      <c r="B28" s="26" t="s">
        <v>21</v>
      </c>
      <c r="C28" s="27">
        <v>0</v>
      </c>
      <c r="D28" s="32">
        <f>C28/C42*1000</f>
        <v>0</v>
      </c>
      <c r="E28" s="27">
        <v>0</v>
      </c>
      <c r="F28" s="32">
        <f>E28/E42*1000</f>
        <v>0</v>
      </c>
      <c r="G28" s="27">
        <v>0</v>
      </c>
      <c r="H28" s="32">
        <f>G28/G42*1000</f>
        <v>0</v>
      </c>
      <c r="I28" s="27">
        <v>0</v>
      </c>
      <c r="J28" s="49">
        <f>I28/I42*1000</f>
        <v>0</v>
      </c>
      <c r="K28" s="11"/>
      <c r="L28" s="11"/>
      <c r="M28" s="16"/>
    </row>
    <row r="29" spans="1:13" ht="19.5" customHeight="1">
      <c r="A29" s="28" t="s">
        <v>38</v>
      </c>
      <c r="B29" s="26" t="s">
        <v>172</v>
      </c>
      <c r="C29" s="27">
        <v>0</v>
      </c>
      <c r="D29" s="32">
        <f>C29/C42*1000</f>
        <v>0</v>
      </c>
      <c r="E29" s="27">
        <v>0</v>
      </c>
      <c r="F29" s="32">
        <f>E29/E42*1000</f>
        <v>0</v>
      </c>
      <c r="G29" s="27">
        <v>0</v>
      </c>
      <c r="H29" s="32">
        <f>G29/G42*1000</f>
        <v>0</v>
      </c>
      <c r="I29" s="27">
        <v>0</v>
      </c>
      <c r="J29" s="49">
        <f>I29/I42*1000</f>
        <v>0</v>
      </c>
      <c r="K29" s="11"/>
      <c r="L29" s="11"/>
      <c r="M29" s="16"/>
    </row>
    <row r="30" spans="1:13" ht="26.25" customHeight="1">
      <c r="A30" s="28" t="s">
        <v>163</v>
      </c>
      <c r="B30" s="26" t="s">
        <v>22</v>
      </c>
      <c r="C30" s="27">
        <v>0</v>
      </c>
      <c r="D30" s="32">
        <f>C30/C42*1000</f>
        <v>0</v>
      </c>
      <c r="E30" s="27">
        <v>0</v>
      </c>
      <c r="F30" s="32">
        <f>E30/E42*1000</f>
        <v>0</v>
      </c>
      <c r="G30" s="27">
        <v>0</v>
      </c>
      <c r="H30" s="32">
        <f>G30/G42*1000</f>
        <v>0</v>
      </c>
      <c r="I30" s="27">
        <v>0</v>
      </c>
      <c r="J30" s="49">
        <f>I30/I42*1000</f>
        <v>0</v>
      </c>
      <c r="K30" s="11"/>
      <c r="L30" s="11"/>
      <c r="M30" s="16"/>
    </row>
    <row r="31" spans="1:13" ht="23.25" customHeight="1">
      <c r="A31" s="30" t="s">
        <v>8</v>
      </c>
      <c r="B31" s="26" t="s">
        <v>89</v>
      </c>
      <c r="C31" s="27">
        <v>0</v>
      </c>
      <c r="D31" s="32">
        <f>C31/C42*1000</f>
        <v>0</v>
      </c>
      <c r="E31" s="27">
        <v>0</v>
      </c>
      <c r="F31" s="32">
        <f>E31/E42*1000</f>
        <v>0</v>
      </c>
      <c r="G31" s="27">
        <v>0</v>
      </c>
      <c r="H31" s="32">
        <f>G31/G42*1000</f>
        <v>0</v>
      </c>
      <c r="I31" s="27">
        <v>0</v>
      </c>
      <c r="J31" s="49">
        <f>I31/I42*1000</f>
        <v>0</v>
      </c>
      <c r="K31" s="11"/>
      <c r="L31" s="11"/>
      <c r="M31" s="16"/>
    </row>
    <row r="32" spans="1:13" ht="21.75" customHeight="1">
      <c r="A32" s="30" t="s">
        <v>10</v>
      </c>
      <c r="B32" s="26" t="s">
        <v>39</v>
      </c>
      <c r="C32" s="27">
        <v>0</v>
      </c>
      <c r="D32" s="32">
        <f>C32/C42*1000</f>
        <v>0</v>
      </c>
      <c r="E32" s="27">
        <v>0</v>
      </c>
      <c r="F32" s="32">
        <f>E32/E42*1000</f>
        <v>0</v>
      </c>
      <c r="G32" s="27">
        <v>0</v>
      </c>
      <c r="H32" s="32">
        <f>G32/G42*1000</f>
        <v>0</v>
      </c>
      <c r="I32" s="27">
        <v>0</v>
      </c>
      <c r="J32" s="49">
        <f>I32/I42*1000</f>
        <v>0</v>
      </c>
      <c r="K32" s="11"/>
      <c r="L32" s="11"/>
      <c r="M32" s="16"/>
    </row>
    <row r="33" spans="1:13" ht="24" customHeight="1">
      <c r="A33" s="30" t="s">
        <v>13</v>
      </c>
      <c r="B33" s="31" t="s">
        <v>90</v>
      </c>
      <c r="C33" s="32">
        <f>ROUND(C11+C23+C27+C31+C32,2)</f>
        <v>415.99</v>
      </c>
      <c r="D33" s="32">
        <f>ROUND(D11+D23+D27+D31+D32,2)</f>
        <v>8.77</v>
      </c>
      <c r="E33" s="32">
        <f>E11+E23+E27+E31+E32</f>
        <v>181.969</v>
      </c>
      <c r="F33" s="32">
        <f>ROUND(F11+F23+F27+F31+F32,2)</f>
        <v>8.77</v>
      </c>
      <c r="G33" s="32">
        <f>G11+G23+G27+G31+G32</f>
        <v>209.20600000000002</v>
      </c>
      <c r="H33" s="32">
        <f>ROUND(H11+H23+H27+H31+H32,2)</f>
        <v>8.77</v>
      </c>
      <c r="I33" s="32">
        <f>I11+I23+I27+I31+I32</f>
        <v>24.815</v>
      </c>
      <c r="J33" s="32">
        <f>ROUND(J11+J23+J27+J31+J32,2)</f>
        <v>8.77</v>
      </c>
      <c r="K33" s="18"/>
      <c r="L33" s="11"/>
      <c r="M33" s="16"/>
    </row>
    <row r="34" spans="1:13" ht="34.5" customHeight="1">
      <c r="A34" s="30" t="s">
        <v>45</v>
      </c>
      <c r="B34" s="45" t="s">
        <v>127</v>
      </c>
      <c r="C34" s="32">
        <v>0</v>
      </c>
      <c r="D34" s="32">
        <f>C34/C42*1000</f>
        <v>0</v>
      </c>
      <c r="E34" s="32">
        <v>0</v>
      </c>
      <c r="F34" s="32">
        <f>E34/E42*1000</f>
        <v>0</v>
      </c>
      <c r="G34" s="32">
        <v>0</v>
      </c>
      <c r="H34" s="32">
        <f>G34/G42*1000</f>
        <v>0</v>
      </c>
      <c r="I34" s="32">
        <v>0</v>
      </c>
      <c r="J34" s="49">
        <f>I34/I42*1000</f>
        <v>0</v>
      </c>
      <c r="K34" s="11"/>
      <c r="L34" s="11"/>
      <c r="M34" s="16"/>
    </row>
    <row r="35" spans="1:11" ht="50.25" customHeight="1">
      <c r="A35" s="30" t="s">
        <v>48</v>
      </c>
      <c r="B35" s="45" t="s">
        <v>176</v>
      </c>
      <c r="C35" s="32">
        <f>((C39+C40)/((100-18)/100))</f>
        <v>10.146097560975612</v>
      </c>
      <c r="D35" s="32">
        <f>C35/C42*1000</f>
        <v>0.2139095883529312</v>
      </c>
      <c r="E35" s="32">
        <f>((E39+E40)/((100-18)/100))</f>
        <v>4.4382682926829276</v>
      </c>
      <c r="F35" s="32">
        <f>E35/E42*1000</f>
        <v>0.21390419968532862</v>
      </c>
      <c r="G35" s="32">
        <f>((G39+G40)/((100-18)/100))</f>
        <v>5.102585365853659</v>
      </c>
      <c r="H35" s="32">
        <f>G35/G42*1000</f>
        <v>0.2139135768331451</v>
      </c>
      <c r="I35" s="32">
        <f>((I39+I40)/((100-18)/100))</f>
        <v>0.6052439024390245</v>
      </c>
      <c r="J35" s="32">
        <f>I35/I42*1000</f>
        <v>0.21391547998099375</v>
      </c>
      <c r="K35" s="11"/>
    </row>
    <row r="36" spans="1:10" ht="26.25" customHeight="1">
      <c r="A36" s="28" t="s">
        <v>73</v>
      </c>
      <c r="B36" s="26" t="s">
        <v>40</v>
      </c>
      <c r="C36" s="27">
        <f>C35*0.18</f>
        <v>1.82629756097561</v>
      </c>
      <c r="D36" s="32">
        <f>C36/C42*1000</f>
        <v>0.038503725903527616</v>
      </c>
      <c r="E36" s="27">
        <f>E35*0.18</f>
        <v>0.7988882926829269</v>
      </c>
      <c r="F36" s="32">
        <f>E36/E42*1000</f>
        <v>0.03850275594335915</v>
      </c>
      <c r="G36" s="27">
        <f>G35*0.18</f>
        <v>0.9184653658536586</v>
      </c>
      <c r="H36" s="32">
        <f>G36/G42*1000</f>
        <v>0.038504443829966116</v>
      </c>
      <c r="I36" s="27">
        <f>I35*0.18</f>
        <v>0.10894390243902441</v>
      </c>
      <c r="J36" s="49">
        <f>I36/I42*1000</f>
        <v>0.03850478639657887</v>
      </c>
    </row>
    <row r="37" spans="1:10" ht="30" customHeight="1">
      <c r="A37" s="28" t="s">
        <v>75</v>
      </c>
      <c r="B37" s="26" t="s">
        <v>96</v>
      </c>
      <c r="C37" s="27">
        <v>0</v>
      </c>
      <c r="D37" s="32">
        <f>C37/C42*1000</f>
        <v>0</v>
      </c>
      <c r="E37" s="27">
        <v>0</v>
      </c>
      <c r="F37" s="32">
        <f>E37/E42*1000</f>
        <v>0</v>
      </c>
      <c r="G37" s="27">
        <v>0</v>
      </c>
      <c r="H37" s="32">
        <f>G37/G42*1000</f>
        <v>0</v>
      </c>
      <c r="I37" s="27">
        <v>0</v>
      </c>
      <c r="J37" s="49">
        <f>I37/I42*1000</f>
        <v>0</v>
      </c>
    </row>
    <row r="38" spans="1:10" ht="39" customHeight="1">
      <c r="A38" s="28" t="s">
        <v>77</v>
      </c>
      <c r="B38" s="26" t="s">
        <v>41</v>
      </c>
      <c r="C38" s="27">
        <v>0</v>
      </c>
      <c r="D38" s="32">
        <f>C38/C42*1000</f>
        <v>0</v>
      </c>
      <c r="E38" s="27">
        <v>0</v>
      </c>
      <c r="F38" s="32">
        <f>E38/E42*1000</f>
        <v>0</v>
      </c>
      <c r="G38" s="27">
        <v>0</v>
      </c>
      <c r="H38" s="32">
        <f>G38/G42*1000</f>
        <v>0</v>
      </c>
      <c r="I38" s="27">
        <v>0</v>
      </c>
      <c r="J38" s="49">
        <f>I38/I42*1000</f>
        <v>0</v>
      </c>
    </row>
    <row r="39" spans="1:10" ht="49.5" customHeight="1">
      <c r="A39" s="28" t="s">
        <v>79</v>
      </c>
      <c r="B39" s="26" t="s">
        <v>42</v>
      </c>
      <c r="C39" s="27">
        <v>0</v>
      </c>
      <c r="D39" s="32">
        <f>C39/C42*1000</f>
        <v>0</v>
      </c>
      <c r="E39" s="27">
        <f>C39/C42*E42</f>
        <v>0</v>
      </c>
      <c r="F39" s="32">
        <f>E39/E42*1000</f>
        <v>0</v>
      </c>
      <c r="G39" s="27">
        <f>C39/C42*G42</f>
        <v>0</v>
      </c>
      <c r="H39" s="32">
        <f>G39/G42*1000</f>
        <v>0</v>
      </c>
      <c r="I39" s="27">
        <f>C39/C42*I42</f>
        <v>0</v>
      </c>
      <c r="J39" s="49">
        <f>I39/I42*1000</f>
        <v>0</v>
      </c>
    </row>
    <row r="40" spans="1:10" ht="31.5" customHeight="1">
      <c r="A40" s="28" t="s">
        <v>178</v>
      </c>
      <c r="B40" s="26" t="s">
        <v>43</v>
      </c>
      <c r="C40" s="27">
        <f>C33*0.02</f>
        <v>8.3198</v>
      </c>
      <c r="D40" s="32">
        <f>C40/C42*1000</f>
        <v>0.17540586244940357</v>
      </c>
      <c r="E40" s="27">
        <f>E33*0.02</f>
        <v>3.63938</v>
      </c>
      <c r="F40" s="32">
        <f>E40/E42*1000</f>
        <v>0.17540144374196945</v>
      </c>
      <c r="G40" s="27">
        <f>G33*0.02</f>
        <v>4.18412</v>
      </c>
      <c r="H40" s="32">
        <f>G40/G42*1000</f>
        <v>0.17540913300317898</v>
      </c>
      <c r="I40" s="27">
        <f>I33*0.02</f>
        <v>0.4963</v>
      </c>
      <c r="J40" s="49">
        <f>I40/I42*1000</f>
        <v>0.17541069358441483</v>
      </c>
    </row>
    <row r="41" spans="1:10" ht="51" customHeight="1">
      <c r="A41" s="30" t="s">
        <v>49</v>
      </c>
      <c r="B41" s="26" t="s">
        <v>257</v>
      </c>
      <c r="C41" s="32">
        <f aca="true" t="shared" si="5" ref="C41:I41">C33+C34+C35</f>
        <v>426.1360975609756</v>
      </c>
      <c r="D41" s="32">
        <f>D33+D34+D35</f>
        <v>8.983909588352931</v>
      </c>
      <c r="E41" s="32">
        <f t="shared" si="5"/>
        <v>186.40726829268291</v>
      </c>
      <c r="F41" s="32">
        <f>F33+F34+F35</f>
        <v>8.983904199685329</v>
      </c>
      <c r="G41" s="32">
        <f>G33+G34+G35</f>
        <v>214.30858536585367</v>
      </c>
      <c r="H41" s="32">
        <f>H33+H34+H35</f>
        <v>8.983913576833144</v>
      </c>
      <c r="I41" s="32">
        <f t="shared" si="5"/>
        <v>25.420243902439026</v>
      </c>
      <c r="J41" s="32">
        <f>J33+J34+J35</f>
        <v>8.983915479980993</v>
      </c>
    </row>
    <row r="42" spans="1:10" ht="47.25" customHeight="1">
      <c r="A42" s="30" t="s">
        <v>50</v>
      </c>
      <c r="B42" s="125" t="s">
        <v>251</v>
      </c>
      <c r="C42" s="32">
        <f>E42+G42+I42</f>
        <v>47431.71000000001</v>
      </c>
      <c r="D42" s="32"/>
      <c r="E42" s="49">
        <v>20748.86</v>
      </c>
      <c r="F42" s="49"/>
      <c r="G42" s="32">
        <v>23853.49</v>
      </c>
      <c r="H42" s="32"/>
      <c r="I42" s="32">
        <v>2829.36</v>
      </c>
      <c r="J42" s="32"/>
    </row>
    <row r="43" spans="1:10" ht="22.5">
      <c r="A43" s="11"/>
      <c r="B43" s="11"/>
      <c r="C43" s="11"/>
      <c r="D43" s="11"/>
      <c r="E43" s="11"/>
      <c r="F43" s="11"/>
      <c r="G43" s="11"/>
      <c r="H43" s="11"/>
      <c r="I43" s="11"/>
      <c r="J43" s="90"/>
    </row>
    <row r="44" spans="1:10" ht="20.25">
      <c r="A44" s="261" t="s">
        <v>261</v>
      </c>
      <c r="B44" s="184"/>
      <c r="C44" s="184"/>
      <c r="D44" s="184"/>
      <c r="E44" s="184"/>
      <c r="F44" s="184"/>
      <c r="G44" s="184"/>
      <c r="H44" s="184"/>
      <c r="I44" s="184"/>
      <c r="J44" s="184"/>
    </row>
    <row r="45" spans="1:10" ht="18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ht="18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8">
      <c r="A47" s="11"/>
      <c r="B47" s="11"/>
      <c r="C47" s="11"/>
      <c r="D47" s="11"/>
      <c r="E47" s="11"/>
      <c r="F47" s="11"/>
      <c r="G47" s="11"/>
      <c r="H47" s="11"/>
      <c r="I47" s="11"/>
      <c r="J47" s="11"/>
    </row>
  </sheetData>
  <sheetProtection/>
  <mergeCells count="12">
    <mergeCell ref="I1:J1"/>
    <mergeCell ref="A1:B1"/>
    <mergeCell ref="G2:J2"/>
    <mergeCell ref="A4:J4"/>
    <mergeCell ref="A5:J5"/>
    <mergeCell ref="A8:A9"/>
    <mergeCell ref="B8:B9"/>
    <mergeCell ref="A44:J44"/>
    <mergeCell ref="C8:D8"/>
    <mergeCell ref="E8:F8"/>
    <mergeCell ref="G8:H8"/>
    <mergeCell ref="I8:J8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Olga</cp:lastModifiedBy>
  <cp:lastPrinted>2021-12-29T06:46:24Z</cp:lastPrinted>
  <dcterms:created xsi:type="dcterms:W3CDTF">2011-08-22T08:34:30Z</dcterms:created>
  <dcterms:modified xsi:type="dcterms:W3CDTF">2021-12-29T06:49:30Z</dcterms:modified>
  <cp:category/>
  <cp:version/>
  <cp:contentType/>
  <cp:contentStatus/>
</cp:coreProperties>
</file>